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240" yWindow="15" windowWidth="11580" windowHeight="6790" activeTab="0"/>
  </bookViews>
  <sheets>
    <sheet name="BiblischeJahre" sheetId="1" r:id="rId1"/>
    <sheet name="Tabelle1" sheetId="2" r:id="rId2"/>
  </sheets>
  <definedNames/>
  <calcPr fullCalcOnLoad="1"/>
</workbook>
</file>

<file path=xl/comments1.xml><?xml version="1.0" encoding="utf-8"?>
<comments xmlns="http://schemas.openxmlformats.org/spreadsheetml/2006/main">
  <authors>
    <author/>
  </authors>
  <commentList>
    <comment ref="Z89" authorId="0">
      <text>
        <r>
          <rPr>
            <sz val="10"/>
            <color indexed="8"/>
            <rFont val="Arial"/>
            <family val="0"/>
          </rPr>
          <t/>
        </r>
        <r>
          <rPr>
            <b/>
            <sz val="8"/>
            <color indexed="8"/>
            <rFont val="Tahoma"/>
            <family val="0"/>
          </rPr>
          <t>Ronald:</t>
        </r>
        <r>
          <rPr>
            <sz val="8"/>
            <color indexed="8"/>
            <rFont val="Tahoma"/>
            <family val="0"/>
          </rPr>
          <t xml:space="preserve">
die Jahre nach der Schöpfung werden von 3761 abgezogen um Zahlen unserer Zeitrechnung zu erhalten</t>
        </r>
        <r>
          <rPr>
            <sz val="10"/>
            <color indexed="8"/>
            <rFont val="Arial"/>
            <family val="0"/>
          </rPr>
          <t/>
        </r>
      </text>
    </comment>
    <comment ref="S44" authorId="0">
      <text>
        <r>
          <rPr>
            <sz val="10"/>
            <color indexed="8"/>
            <rFont val="Arial"/>
            <family val="0"/>
          </rPr>
          <t/>
        </r>
        <r>
          <rPr>
            <sz val="12"/>
            <color indexed="8"/>
            <rFont val="Times New Roman"/>
            <family val="0"/>
          </rPr>
          <t xml:space="preserve">Und 25. Jubiläum nahm sich Noah ein Weib mit Namen Emsara, die Tochter Rakeels, Tochter der Schwester seines Vaters, im 1. Jahr in der 5. Jahrwoche, und im 3. Jahre gebar sie ihm den Sem, und im 5. Jahr gebar sie ihm den Ham und 1. Jahr der 6. Jahrwoche (1.212 Jahre) gebar sie ihm den Japhet.
</t>
        </r>
        <r>
          <rPr>
            <sz val="10"/>
            <color indexed="8"/>
            <rFont val="Arial"/>
            <family val="0"/>
          </rPr>
          <t/>
        </r>
      </text>
    </comment>
  </commentList>
</comments>
</file>

<file path=xl/comments2.xml><?xml version="1.0" encoding="utf-8"?>
<comments xmlns="http://schemas.openxmlformats.org/spreadsheetml/2006/main">
  <authors>
    <author/>
  </authors>
  <commentList>
    <comment ref="C26" authorId="0">
      <text>
        <r>
          <rPr>
            <sz val="10"/>
            <color indexed="8"/>
            <rFont val="Arial"/>
            <family val="0"/>
          </rPr>
          <t/>
        </r>
        <r>
          <rPr>
            <b/>
            <sz val="8"/>
            <color indexed="8"/>
            <rFont val="Tahoma"/>
            <family val="0"/>
          </rPr>
          <t>Ronald Schmiers:</t>
        </r>
        <r>
          <rPr>
            <sz val="8"/>
            <color indexed="8"/>
            <rFont val="Tahoma"/>
            <family val="0"/>
          </rPr>
          <t xml:space="preserve">
weiter geht es in Gen.11,10
</t>
        </r>
        <r>
          <rPr>
            <sz val="10"/>
            <color indexed="8"/>
            <rFont val="Arial"/>
            <family val="0"/>
          </rPr>
          <t/>
        </r>
      </text>
    </comment>
    <comment ref="C56" authorId="0">
      <text>
        <r>
          <rPr>
            <sz val="10"/>
            <color indexed="8"/>
            <rFont val="Arial"/>
            <family val="0"/>
          </rPr>
          <t/>
        </r>
        <r>
          <rPr>
            <b/>
            <sz val="8"/>
            <color indexed="8"/>
            <rFont val="Tahoma"/>
            <family val="0"/>
          </rPr>
          <t>Ronald Schmiers:</t>
        </r>
        <r>
          <rPr>
            <sz val="8"/>
            <color indexed="8"/>
            <rFont val="Tahoma"/>
            <family val="0"/>
          </rPr>
          <t xml:space="preserve">
Abraham verhandelte mit Hetitern in Hebron, Kanaan, um ein Grab für Sarah. Das sollte doch ein historischer Hinweis sein. Die Hethiter herrschten nie nachweislich über Hebron, hatten aber zeitweilige Großreiche zwischen  1700-1200. Hatuschili I. und Mursili I. regierten von 1565 bis 1530 v. Chr </t>
        </r>
        <r>
          <rPr>
            <sz val="10"/>
            <color indexed="8"/>
            <rFont val="Arial"/>
            <family val="0"/>
          </rPr>
          <t/>
        </r>
      </text>
    </comment>
  </commentList>
</comments>
</file>

<file path=xl/sharedStrings.xml><?xml version="1.0" encoding="utf-8"?>
<sst xmlns="http://schemas.openxmlformats.org/spreadsheetml/2006/main" count="1216" uniqueCount="475">
  <si>
    <t>Biblische Erstmenschen:</t>
  </si>
  <si>
    <t>Jahr nach jüdischem Kalender</t>
  </si>
  <si>
    <t>Chronologische Berechnung</t>
  </si>
  <si>
    <t>Jahr nach christlichem Kalender</t>
  </si>
  <si>
    <t/>
  </si>
  <si>
    <t>Adam</t>
  </si>
  <si>
    <t>Geburt</t>
  </si>
  <si>
    <t>130 J. alt bekam Adam Söhne</t>
  </si>
  <si>
    <t xml:space="preserve"> |</t>
  </si>
  <si>
    <t>Alter</t>
  </si>
  <si>
    <t>Tod</t>
  </si>
  <si>
    <t>Henoch gestorben</t>
  </si>
  <si>
    <t>nanu? 130+912 ist</t>
  </si>
  <si>
    <t>aber 3761-130-912 ist</t>
  </si>
  <si>
    <t>Noah geboren</t>
  </si>
  <si>
    <t>Enosch gestorben</t>
  </si>
  <si>
    <t>Mahalael gestorben</t>
  </si>
  <si>
    <t>Kenan gestorben</t>
  </si>
  <si>
    <t>Jered gestorben</t>
  </si>
  <si>
    <t>nach 500 Jahren heiratet Noah</t>
  </si>
  <si>
    <t>Sem, Ham &amp; Jafet geboren, nach Genesis</t>
  </si>
  <si>
    <t>Sem sei 67 Jahre vor Lamechs Tode  geboren, laut Schatzhöhle. 40 Jahre vor der Flut</t>
  </si>
  <si>
    <t>Lamech gestorben, im 68. Jahre Sems, 40 Jahre vor der Flut</t>
  </si>
  <si>
    <t>Sintflut</t>
  </si>
  <si>
    <t>Methusalem tot</t>
  </si>
  <si>
    <t>Arpaschad 1656/57 geboren</t>
  </si>
  <si>
    <t>Schelach 1691 geboren</t>
  </si>
  <si>
    <t>Eber 1721 geboren</t>
  </si>
  <si>
    <t>Peleg 1755 geboren</t>
  </si>
  <si>
    <t>Regu 1785 geboren</t>
  </si>
  <si>
    <t>Serug geboren</t>
  </si>
  <si>
    <t>Nahor (1) geboren</t>
  </si>
  <si>
    <t>Terach geboren</t>
  </si>
  <si>
    <t>Abram, Nahor, Haran geboren</t>
  </si>
  <si>
    <t>Haran stirbt nach Geburt Lots noch irgendwann in Ur</t>
  </si>
  <si>
    <t>Peleg gestorben</t>
  </si>
  <si>
    <t>im Alter von 75 verläßt Abram Haran</t>
  </si>
  <si>
    <t>Nahor (1) gestorben</t>
  </si>
  <si>
    <t>Ismael geboren, als Abram 86</t>
  </si>
  <si>
    <t>Regu gestorben</t>
  </si>
  <si>
    <t>Isaak geboren</t>
  </si>
  <si>
    <t>Serug gestorben</t>
  </si>
  <si>
    <t>Terach stirbt</t>
  </si>
  <si>
    <t>Isaak heiratet Rebekka</t>
  </si>
  <si>
    <t>Arpachad stirbt</t>
  </si>
  <si>
    <t>Jakob und Esau geboren</t>
  </si>
  <si>
    <t>Abraham gestorben</t>
  </si>
  <si>
    <t>7 Jahre nach Abrams Tod soll der Verkauf des Erstgeburtsrechts von Esau an Jakob geschehen sein.</t>
  </si>
  <si>
    <t>Als Esau 40 Jahre alt war nahm er zwei Frauen.</t>
  </si>
  <si>
    <t>Sem gestorben</t>
  </si>
  <si>
    <t>Eber gestorben</t>
  </si>
  <si>
    <t>Ismael stirbt</t>
  </si>
  <si>
    <t>Jakob</t>
  </si>
  <si>
    <t>Ruben</t>
  </si>
  <si>
    <t>Simeon</t>
  </si>
  <si>
    <t xml:space="preserve"> +Eber</t>
  </si>
  <si>
    <t>Levi</t>
  </si>
  <si>
    <t>Dan</t>
  </si>
  <si>
    <t>Juda</t>
  </si>
  <si>
    <t>Naphtali</t>
  </si>
  <si>
    <t>Gad</t>
  </si>
  <si>
    <t>Issachar</t>
  </si>
  <si>
    <t>Asser</t>
  </si>
  <si>
    <t>Sebulon und Dina</t>
  </si>
  <si>
    <t>Joseph</t>
  </si>
  <si>
    <t>Dina</t>
  </si>
  <si>
    <t>Benjamin</t>
  </si>
  <si>
    <t>Rahel</t>
  </si>
  <si>
    <t>Mahalat</t>
  </si>
  <si>
    <t>Jakobs Sohn Josef</t>
  </si>
  <si>
    <t>Bilha</t>
  </si>
  <si>
    <t>Jakob trifft Vater</t>
  </si>
  <si>
    <t>Rebekka</t>
  </si>
  <si>
    <t>Josef</t>
  </si>
  <si>
    <t xml:space="preserve"> +Isaak</t>
  </si>
  <si>
    <t xml:space="preserve"> +Levi</t>
  </si>
  <si>
    <t xml:space="preserve">Und in der 7. Jahrwoche im 7. Jahr im 47. Jubiläum (2.303 Jahre) kam dein Vater aus dem Lande Kanaan, </t>
  </si>
  <si>
    <t>und du wurdest geboren in der 4. Jahrwoche im 6. Jahr im 48. Jubiläum (2.330 Jahre), welches eine Zeit der Trübsal für die Kinder Israel war.</t>
  </si>
  <si>
    <t>Und nachdem du 3 Jahrwochen vollendest hattest, brachten sie dich an den Hof des Reiches. Und du warst am Hofe 3 Jahrwochen??? bis zur der Zeit, da du aus dem Hofe des Reiches hinausgingst und den Ägypter sahst, wie er deinen Nächsten von den Kindern Israel schlug.</t>
  </si>
  <si>
    <t xml:space="preserve">Und im 6. Jahr der 3. Jahrwoche des 49. Jubiläums (2.372 Jahre) gingst du und wohntest dort 5 Jahrwochen und ein Jahr; </t>
  </si>
  <si>
    <t>und du kehrtest nach Ägypten zurück in der 2. Jahrwoche im 2. Jahr im 50. Jubiläum (2.410 Jahre).</t>
  </si>
  <si>
    <t>Mose</t>
  </si>
  <si>
    <t>Moses</t>
  </si>
  <si>
    <t>Eva</t>
  </si>
  <si>
    <t>starb vor der Flut. die laut "Schatzhöhle" aber 28 Jahre später wäre, im 628. Jahre Noahs!</t>
  </si>
  <si>
    <t>Wanderung zu Laban</t>
  </si>
  <si>
    <t>heiratet nach 7 Jahren Arbeit zuerst Lea</t>
  </si>
  <si>
    <t>1. Sohn Jakobs von Lea</t>
  </si>
  <si>
    <t>2. Sohn Jakobs von Lea</t>
  </si>
  <si>
    <t>Eber lebte noch 430 Jahre</t>
  </si>
  <si>
    <t>3. Sohn Jakobs von Lea</t>
  </si>
  <si>
    <t>Sohn Jakobs von Bilha</t>
  </si>
  <si>
    <t>7 weitere Jahre für Rahel arbeiten</t>
  </si>
  <si>
    <t>4. Sohn Jakobs von Lea</t>
  </si>
  <si>
    <t>Sohn Jakobs von Silpa</t>
  </si>
  <si>
    <t>5. Sohn Jakobs von Lea</t>
  </si>
  <si>
    <t>6. Sohn Jakobs und 1. Tochter von Lea</t>
  </si>
  <si>
    <t>1. Sohn Jakobs von Rahel</t>
  </si>
  <si>
    <t>Dina wurde zwischen Salem und Sichem geraubt, danach Kampf</t>
  </si>
  <si>
    <t>um diese zeit war Rahel mit Benjamin schwanger</t>
  </si>
  <si>
    <t>Rahel stirbt nach Benjamins Geburt</t>
  </si>
  <si>
    <t>zog Jakob zum Haus Abrahams um nahe Isaaks zu wohnen.</t>
  </si>
  <si>
    <t>Esau nahm auch noch eine Tochter Ismaels zur Frau, als Isaak fast im Sterben lag. Isaak lebte aber noch mehr als 16 Jahre</t>
  </si>
  <si>
    <t>weideten Jakobs Söhne die Schafe und wurden von Amoritern überfallen</t>
  </si>
  <si>
    <t>wurde Josef von seinen Brüdern verkauft</t>
  </si>
  <si>
    <t>starb Bilha, weil sie dachte Josef sei tot</t>
  </si>
  <si>
    <t>im gleichen Jahr starb Dina (schon mit 15?)</t>
  </si>
  <si>
    <t>nachdem Josef verloren war, nahmen sich die Söhne Jakobs Weiber.</t>
  </si>
  <si>
    <t>als Jakob Vater Isaak trifft, sagt dieser, er sei jetzt 165 Jahre alt</t>
  </si>
  <si>
    <t>sagte Rebekka, ich sterbe nun mit 155 Jahren, Esau und Jakob schwören Bruderliebe und begraben sie</t>
  </si>
  <si>
    <t>wird mit 30 zum Verwalter des Pharao erhoben</t>
  </si>
  <si>
    <t>so wird Benjamin zwischen Abrahams und Isaaks Tod geboren sein, rund 20 Jahre nach Josef.</t>
  </si>
  <si>
    <t>Isaak wurde aber 180 Jahre alt und starb erst einige Zeit nach Jakobs Rückkehr und noch nach Rahels und vor Rebekkas Tod.</t>
  </si>
  <si>
    <t>vor Christi</t>
  </si>
  <si>
    <t>war 130, als er zu Josef nach Ägypten zog.</t>
  </si>
  <si>
    <t>in den Jahren des Hungers kommen seine Brüder zu ihm</t>
  </si>
  <si>
    <t>stirbt in Goshen</t>
  </si>
  <si>
    <t>für die Kinder und Enkel Isaaks macht die Genesis keine konkreten Angaben mehr!</t>
  </si>
  <si>
    <t>Isaak soll aber seine jüngsten Enkel, Josef und Benjamin, noch gesehen haben.</t>
  </si>
  <si>
    <t>stirbt im Alter von</t>
  </si>
  <si>
    <t>denn Benjamin war noch ein Knabe, als seine Brüder ihn mit zu Josef bringen sollten.</t>
  </si>
  <si>
    <t>in Alter von 137 gestorben.</t>
  </si>
  <si>
    <t>neunundvierzig Jubiläen sind es von den Tagen Adams bis auf diesen Tag und eine Jahrwoche und 2 Jahre;(2410 Jahre) und es sind noch 40 Jahre weit,</t>
  </si>
  <si>
    <t xml:space="preserve"> am Beginn des 50. Jubiläum die Eroberung Kanaans</t>
  </si>
  <si>
    <t>Kain</t>
  </si>
  <si>
    <t>Elberfelder B. keine Jahresangabe</t>
  </si>
  <si>
    <t>Geburt 130</t>
  </si>
  <si>
    <t>im Lande</t>
  </si>
  <si>
    <t>Nod nahm</t>
  </si>
  <si>
    <t>Kain eine Frau</t>
  </si>
  <si>
    <t>und hatte</t>
  </si>
  <si>
    <t>viele Kinder</t>
  </si>
  <si>
    <t>Alter:</t>
  </si>
  <si>
    <t>unbekannt</t>
  </si>
  <si>
    <t>820 Jahre nach</t>
  </si>
  <si>
    <t>"Schatzhöhle"</t>
  </si>
  <si>
    <t>?????????</t>
  </si>
  <si>
    <t>7jährig lag Jakob also an seiner Brust!</t>
  </si>
  <si>
    <t>Isaak gestorben</t>
  </si>
  <si>
    <t>Seite nicht unbedingt proportional verteilt</t>
  </si>
  <si>
    <t>Quick-HTML-Export nicht optimiert auf Schönheit.</t>
  </si>
  <si>
    <t>Abel</t>
  </si>
  <si>
    <t>Tod mit 122</t>
  </si>
  <si>
    <t>Seth</t>
  </si>
  <si>
    <t>mit 105 Enosch nach Elberfelder B</t>
  </si>
  <si>
    <t>lebte 912 Jahre nach Elberfelder</t>
  </si>
  <si>
    <t>bis</t>
  </si>
  <si>
    <t>oder</t>
  </si>
  <si>
    <t>Alter 137</t>
  </si>
  <si>
    <t>Enosch</t>
  </si>
  <si>
    <t>mit 90</t>
  </si>
  <si>
    <t xml:space="preserve"> +815 Jahre</t>
  </si>
  <si>
    <t>lebte 905 Jahre</t>
  </si>
  <si>
    <t>(zu dieser Zeit herrschen in Ägypten (Theben) die Intefs der 11. Dynastie, von 2134-1991)</t>
  </si>
  <si>
    <t>Kenan</t>
  </si>
  <si>
    <t>mit 70</t>
  </si>
  <si>
    <t>lebte 910 J.</t>
  </si>
  <si>
    <t>bis Tod</t>
  </si>
  <si>
    <t>Mahalalel</t>
  </si>
  <si>
    <t>Mahalael</t>
  </si>
  <si>
    <t>mit 65</t>
  </si>
  <si>
    <t>noch 830</t>
  </si>
  <si>
    <t>im 135. J. starb Adam</t>
  </si>
  <si>
    <t>kann nicht stimmen!!!</t>
  </si>
  <si>
    <t>Differenz zu anderen Angaben der Genesis</t>
  </si>
  <si>
    <t>Josef wurde noch in Haran bei Laban geboren, kurz bevor Jakob nach Hause wollte.</t>
  </si>
  <si>
    <t>Jered</t>
  </si>
  <si>
    <t>mit 162</t>
  </si>
  <si>
    <t>noch 800</t>
  </si>
  <si>
    <t>und weitere Kinder</t>
  </si>
  <si>
    <t>Hennoch</t>
  </si>
  <si>
    <t xml:space="preserve">mit 65 Methuschelach </t>
  </si>
  <si>
    <t>noch 300 J</t>
  </si>
  <si>
    <t>Metuschelach  Methusalem</t>
  </si>
  <si>
    <t>Methusalem</t>
  </si>
  <si>
    <t>mit 187</t>
  </si>
  <si>
    <t>noch 782</t>
  </si>
  <si>
    <t>bis Tod im J.</t>
  </si>
  <si>
    <t>vor Christus</t>
  </si>
  <si>
    <t>starb Methusalem</t>
  </si>
  <si>
    <t>zur Zeit der</t>
  </si>
  <si>
    <t>Sintflut.</t>
  </si>
  <si>
    <t>ertrank er???</t>
  </si>
  <si>
    <t>Lamesch</t>
  </si>
  <si>
    <t>mit 182</t>
  </si>
  <si>
    <t>lebte</t>
  </si>
  <si>
    <t>noch 595 J.</t>
  </si>
  <si>
    <t>ab hier</t>
  </si>
  <si>
    <t>in zehner-</t>
  </si>
  <si>
    <t>schritten</t>
  </si>
  <si>
    <t>zur besseren</t>
  </si>
  <si>
    <t>Orientierung</t>
  </si>
  <si>
    <t>Noach</t>
  </si>
  <si>
    <t>Noah</t>
  </si>
  <si>
    <t>im Alter von</t>
  </si>
  <si>
    <t>500 J.</t>
  </si>
  <si>
    <t>noch 350 J.</t>
  </si>
  <si>
    <t>seit Adam</t>
  </si>
  <si>
    <t>Umrechnung</t>
  </si>
  <si>
    <t>v.u.Z.</t>
  </si>
  <si>
    <t>Sem</t>
  </si>
  <si>
    <t>*Adam,Eva</t>
  </si>
  <si>
    <t>*Abel</t>
  </si>
  <si>
    <t>*Seth</t>
  </si>
  <si>
    <t>*Enosch</t>
  </si>
  <si>
    <t>*Mahalael</t>
  </si>
  <si>
    <t>*Jered</t>
  </si>
  <si>
    <t>*Henoch</t>
  </si>
  <si>
    <t>*Methusalem</t>
  </si>
  <si>
    <t>Pharao Menes der 1. Dynastie ergreift die Macht</t>
  </si>
  <si>
    <t>* Lamech</t>
  </si>
  <si>
    <t>+Adam</t>
  </si>
  <si>
    <t>+Hennoch</t>
  </si>
  <si>
    <t>+Seth</t>
  </si>
  <si>
    <t>Pharao Chaba, 3. Dynastie, regiert</t>
  </si>
  <si>
    <t>Niusere Ini 5. Dynaste regiert</t>
  </si>
  <si>
    <t>Noah hat in seinem 500. Jahr 3 Söhne:</t>
  </si>
  <si>
    <t>1555?</t>
  </si>
  <si>
    <t>Stammvater</t>
  </si>
  <si>
    <t>aller Söhne Ebers</t>
  </si>
  <si>
    <t>(in Ägypten die Intefs der 11. Dynastie, von 2134-1991)</t>
  </si>
  <si>
    <t>die Hebräer.</t>
  </si>
  <si>
    <t>im Alter von 100 bekam Sem</t>
  </si>
  <si>
    <t>2 J. nach Flut</t>
  </si>
  <si>
    <t>lebte noch</t>
  </si>
  <si>
    <t>500 Jahre</t>
  </si>
  <si>
    <t>2000 seit Erschaffung der Welt</t>
  </si>
  <si>
    <t>Ergänzung falls die Seite mit gedruckt wird</t>
  </si>
  <si>
    <t>Ham</t>
  </si>
  <si>
    <t>wurde 770</t>
  </si>
  <si>
    <t>2. Dynastie der Pharaonen beginnt</t>
  </si>
  <si>
    <t>Die Erzväter</t>
  </si>
  <si>
    <t>Vater Kanaans</t>
  </si>
  <si>
    <t>Jafet</t>
  </si>
  <si>
    <t>1556?</t>
  </si>
  <si>
    <t>Arpachad</t>
  </si>
  <si>
    <t>gestorben 40 Jahre vor der Flut.</t>
  </si>
  <si>
    <t>mit 35</t>
  </si>
  <si>
    <t xml:space="preserve">lebte noch </t>
  </si>
  <si>
    <t>400 Jahre</t>
  </si>
  <si>
    <t>Arpaschat stirbt</t>
  </si>
  <si>
    <t>Schelach</t>
  </si>
  <si>
    <t>mit 30</t>
  </si>
  <si>
    <t>Schelach stirbt</t>
  </si>
  <si>
    <t>Eber</t>
  </si>
  <si>
    <t>nach Schöpfung</t>
  </si>
  <si>
    <t>mit 34</t>
  </si>
  <si>
    <t>430 Jahre</t>
  </si>
  <si>
    <t>Eber stirbt</t>
  </si>
  <si>
    <t>Peleg</t>
  </si>
  <si>
    <t>209 Jahre</t>
  </si>
  <si>
    <t>Regu</t>
  </si>
  <si>
    <t>einige Meinungen gehen von 2400 vor Christus für die Sintflut aus.</t>
  </si>
  <si>
    <t>mit 32</t>
  </si>
  <si>
    <t>bis 2034</t>
  </si>
  <si>
    <t>217 Jahre</t>
  </si>
  <si>
    <t>Serug</t>
  </si>
  <si>
    <t>(zehn - Jahresschritte pro Zelle)</t>
  </si>
  <si>
    <t>200 Jahre</t>
  </si>
  <si>
    <t>bis 2049</t>
  </si>
  <si>
    <t>Nahor</t>
  </si>
  <si>
    <t>mit 29</t>
  </si>
  <si>
    <t>119 Jahre</t>
  </si>
  <si>
    <t>Terach</t>
  </si>
  <si>
    <t>135 Jahre</t>
  </si>
  <si>
    <t>(Brüder, sind etwas jünger)</t>
  </si>
  <si>
    <t>Abram</t>
  </si>
  <si>
    <t>mit 75 aus Ur</t>
  </si>
  <si>
    <t>über Haran</t>
  </si>
  <si>
    <t>bis Ägypten</t>
  </si>
  <si>
    <t>zurück nach Kanaan</t>
  </si>
  <si>
    <t>10 J. i. Kanaan mit 86</t>
  </si>
  <si>
    <t>mit 86 Ismael</t>
  </si>
  <si>
    <t>mit 100 Isaak</t>
  </si>
  <si>
    <t>circa</t>
  </si>
  <si>
    <t>stirbt Sara</t>
  </si>
  <si>
    <t>mit 127 Jahren</t>
  </si>
  <si>
    <t>Sara war eine</t>
  </si>
  <si>
    <t>Halbschwester</t>
  </si>
  <si>
    <t>Abrams</t>
  </si>
  <si>
    <t>Abraham</t>
  </si>
  <si>
    <t>(jüngere Brüder Abrams)</t>
  </si>
  <si>
    <t>Jahre vChr.</t>
  </si>
  <si>
    <t>mit Milka hatte</t>
  </si>
  <si>
    <t>Nahor Söhne</t>
  </si>
  <si>
    <t>Uz, Buz &amp;</t>
  </si>
  <si>
    <t>Kemuël</t>
  </si>
  <si>
    <t>Kemuel wurde</t>
  </si>
  <si>
    <t xml:space="preserve">Stammvater der </t>
  </si>
  <si>
    <t>Aramäer.</t>
  </si>
  <si>
    <t>ferner Kesed</t>
  </si>
  <si>
    <t>Haso</t>
  </si>
  <si>
    <t>Pildach</t>
  </si>
  <si>
    <t>Jidlaf</t>
  </si>
  <si>
    <t>und Betuel</t>
  </si>
  <si>
    <t>175 Jahre</t>
  </si>
  <si>
    <t>Haran</t>
  </si>
  <si>
    <t>er zeugte Lot in Chaldäa</t>
  </si>
  <si>
    <t>starb vor</t>
  </si>
  <si>
    <t>in Chaldäa</t>
  </si>
  <si>
    <t>noch jung</t>
  </si>
  <si>
    <t>Betuel zeugte Rebekka,</t>
  </si>
  <si>
    <t>Rebekka heiratet Isaak. (einen Onkel)</t>
  </si>
  <si>
    <t>Nahors Nebenfrau Reuma bekam Kinder, nämlich Tebach, Gasham, Tahasch und Maascha.</t>
  </si>
  <si>
    <t>Ende konkreter Angaben</t>
  </si>
  <si>
    <t>(Halbbrüder,  -14 Jahre)</t>
  </si>
  <si>
    <t>Ismael</t>
  </si>
  <si>
    <t>/ leibliche Kinder</t>
  </si>
  <si>
    <t>von seiner</t>
  </si>
  <si>
    <t>Magd Hagar bekam Abraham</t>
  </si>
  <si>
    <t>seine Nach-</t>
  </si>
  <si>
    <t>kommen, die</t>
  </si>
  <si>
    <t>Ismaeliten</t>
  </si>
  <si>
    <t>wurden die</t>
  </si>
  <si>
    <t>Araber,</t>
  </si>
  <si>
    <t>und später</t>
  </si>
  <si>
    <t>Moslems.</t>
  </si>
  <si>
    <t>Bogenschütze,</t>
  </si>
  <si>
    <t>lebte in der</t>
  </si>
  <si>
    <t>Wüste Paran</t>
  </si>
  <si>
    <t>und heiratet</t>
  </si>
  <si>
    <t>Ägypterin</t>
  </si>
  <si>
    <t>Isaak</t>
  </si>
  <si>
    <t>von Sara</t>
  </si>
  <si>
    <t>mit 100</t>
  </si>
  <si>
    <t>Isaak soll 60 gewesen sein, bei Geburt der Zwillinge</t>
  </si>
  <si>
    <t>Esau</t>
  </si>
  <si>
    <t>Biblische Genealogie von der Erschaffung Adams an gerechnet</t>
  </si>
  <si>
    <t>A.M.</t>
  </si>
  <si>
    <t>Erschaffung der Welt und Adams im ersten Jahr</t>
  </si>
  <si>
    <t>wer?</t>
  </si>
  <si>
    <t xml:space="preserve"> *Adam</t>
  </si>
  <si>
    <t xml:space="preserve"> *Seth</t>
  </si>
  <si>
    <t xml:space="preserve"> *Enosch</t>
  </si>
  <si>
    <t xml:space="preserve"> *Kenan</t>
  </si>
  <si>
    <t xml:space="preserve"> *Mahalalel</t>
  </si>
  <si>
    <t xml:space="preserve"> *Jered</t>
  </si>
  <si>
    <t xml:space="preserve"> *Hennoch</t>
  </si>
  <si>
    <t xml:space="preserve"> *Metuschelach</t>
  </si>
  <si>
    <t xml:space="preserve"> *Lamesch</t>
  </si>
  <si>
    <t xml:space="preserve"> +Adams Tod</t>
  </si>
  <si>
    <t xml:space="preserve"> +Hennoch</t>
  </si>
  <si>
    <t xml:space="preserve"> +Seth</t>
  </si>
  <si>
    <t xml:space="preserve"> +Kain</t>
  </si>
  <si>
    <t xml:space="preserve"> *Noach</t>
  </si>
  <si>
    <t xml:space="preserve"> +Enosch</t>
  </si>
  <si>
    <t xml:space="preserve"> +Kenan</t>
  </si>
  <si>
    <t xml:space="preserve"> +Mahalalel</t>
  </si>
  <si>
    <t xml:space="preserve"> +Jered</t>
  </si>
  <si>
    <t xml:space="preserve"> +Metuschelach</t>
  </si>
  <si>
    <t xml:space="preserve"> *Sem, Ham, Jafet</t>
  </si>
  <si>
    <t xml:space="preserve"> +Lamesch</t>
  </si>
  <si>
    <t xml:space="preserve"> *Arpaschad</t>
  </si>
  <si>
    <t xml:space="preserve"> *Schelach</t>
  </si>
  <si>
    <t xml:space="preserve"> *Eber</t>
  </si>
  <si>
    <t xml:space="preserve"> *Peleg</t>
  </si>
  <si>
    <t xml:space="preserve"> *Regu</t>
  </si>
  <si>
    <t xml:space="preserve"> *Serug</t>
  </si>
  <si>
    <t xml:space="preserve"> *Nahor 1</t>
  </si>
  <si>
    <t xml:space="preserve"> *Terach</t>
  </si>
  <si>
    <t>Abram,Nahor,Haran</t>
  </si>
  <si>
    <t xml:space="preserve"> +Peleg</t>
  </si>
  <si>
    <t xml:space="preserve"> +Regu</t>
  </si>
  <si>
    <t xml:space="preserve"> +Nahor 1</t>
  </si>
  <si>
    <t xml:space="preserve"> +Noach</t>
  </si>
  <si>
    <t xml:space="preserve"> *Ismael</t>
  </si>
  <si>
    <t xml:space="preserve"> *Isaak</t>
  </si>
  <si>
    <t xml:space="preserve"> +Serug</t>
  </si>
  <si>
    <t xml:space="preserve"> *Rebekka</t>
  </si>
  <si>
    <t xml:space="preserve"> *Nebajot</t>
  </si>
  <si>
    <t xml:space="preserve"> *Kedar</t>
  </si>
  <si>
    <t xml:space="preserve"> *Adbeel</t>
  </si>
  <si>
    <t xml:space="preserve"> *Mibsam</t>
  </si>
  <si>
    <t xml:space="preserve"> *Mischma</t>
  </si>
  <si>
    <t xml:space="preserve"> *Duma</t>
  </si>
  <si>
    <t xml:space="preserve"> *Massa</t>
  </si>
  <si>
    <t xml:space="preserve"> *Hadad</t>
  </si>
  <si>
    <t xml:space="preserve"> +Terach</t>
  </si>
  <si>
    <t xml:space="preserve"> *Tema</t>
  </si>
  <si>
    <t xml:space="preserve"> *Jetur</t>
  </si>
  <si>
    <t xml:space="preserve"> *Nafisch</t>
  </si>
  <si>
    <t xml:space="preserve"> +Sahra</t>
  </si>
  <si>
    <t xml:space="preserve"> *Kedma</t>
  </si>
  <si>
    <t>Simran, Jokschan, Medan, Midian, Jischback, Schuach</t>
  </si>
  <si>
    <t>Rebekka oo Isaak</t>
  </si>
  <si>
    <t xml:space="preserve"> +Arpaschad</t>
  </si>
  <si>
    <t xml:space="preserve"> *Esau, Jakob</t>
  </si>
  <si>
    <t xml:space="preserve"> +Abram</t>
  </si>
  <si>
    <t xml:space="preserve"> +Schelach</t>
  </si>
  <si>
    <t>Erstgeburtsrecht</t>
  </si>
  <si>
    <t>Judith und Basemat</t>
  </si>
  <si>
    <t xml:space="preserve"> +SEM</t>
  </si>
  <si>
    <t xml:space="preserve"> +Ismael</t>
  </si>
  <si>
    <t>Jesus</t>
  </si>
  <si>
    <t>Ereignis und Alter</t>
  </si>
  <si>
    <t>*Eva</t>
  </si>
  <si>
    <t>Adam war 130 da zeugte er Set</t>
  </si>
  <si>
    <t>Als Set 105 alt war zeugte er Enosch</t>
  </si>
  <si>
    <t>Enosch war 90 Jahre alt, da zeugte er Kenan</t>
  </si>
  <si>
    <t>Kenan war 70 da zeugte er Mahalalel</t>
  </si>
  <si>
    <t>Mahalalel war 65 da zeugte er Jered</t>
  </si>
  <si>
    <t>Jered war 162 J. alt, da zeugte er Hennoch</t>
  </si>
  <si>
    <t>Hennoch war 65 J. Als da zeugte er Metuschelach</t>
  </si>
  <si>
    <t>Metuschelach war 187 J. alt, da zeugte er Lamesch</t>
  </si>
  <si>
    <t>Adam lebte noch 800 Jahre und zeugte Söhne und Töchter</t>
  </si>
  <si>
    <t>Nach Geburt von Metuschelach ging Hennoch noch 300 J. seinen Weg mit Gott</t>
  </si>
  <si>
    <t>Set lebte 912 Jahre dann starb er</t>
  </si>
  <si>
    <t>im 820. Jahr Enoschs von Lamech mit Pfeil getötet</t>
  </si>
  <si>
    <t>Lamesch war 182, da zeugte er Noach</t>
  </si>
  <si>
    <t>Nach Kenans Geburt lebte Enosch noch 815 Jahre</t>
  </si>
  <si>
    <t>Nach der Geburt von Mahalalel lebte Kenan noch 840 Jahre</t>
  </si>
  <si>
    <t>Nach der Geburt von Jered lebte Mahalalel noch 830 Jahre</t>
  </si>
  <si>
    <t>Nach der Geburt von Hennoch lebte Jered noch 800 Jahre</t>
  </si>
  <si>
    <t>Metuschelach lebte noch 782 J. nach Geburt Lameschs</t>
  </si>
  <si>
    <t>Noach zeugte im Alter von 500  Sem, Ham und Jafet</t>
  </si>
  <si>
    <t>Nach Geburt von Noach lebte Lamesch noch 595 Jahre</t>
  </si>
  <si>
    <t>Noah war im 600. Jahr, als die Flut kam</t>
  </si>
  <si>
    <t>Sem war 100 als er Arpaschad zeugte, 2 Jahre nach der Flut</t>
  </si>
  <si>
    <t>Arpaschad zeugte mit 35 Schelach</t>
  </si>
  <si>
    <t>Schalach zeugte mit 30 Eber</t>
  </si>
  <si>
    <t>Eber war 34 als er Peleg zeugte</t>
  </si>
  <si>
    <t>Peleg war 30, da zeugte er Regu</t>
  </si>
  <si>
    <t>Regu war 32 da zeugte er Serug</t>
  </si>
  <si>
    <t>Serug war 30 als er Nahor zeugte</t>
  </si>
  <si>
    <t>Nahor war 29 als er Terach zeugte</t>
  </si>
  <si>
    <t>Terach war 70, da zeugte er Abram, Nahor und Haran</t>
  </si>
  <si>
    <t>Peleg lebte nach Regu noch 209 Jahre</t>
  </si>
  <si>
    <t>Regu lebte dann noch 207 Jahre</t>
  </si>
  <si>
    <t>Nahor lebte dann noch 119 Jahre</t>
  </si>
  <si>
    <t>Noach lebte nach der Flut noch 350 Jahre</t>
  </si>
  <si>
    <t>Mit 75 zog Abram von Haran nach Kanaan</t>
  </si>
  <si>
    <t>Abram war 86, als Hagar Ismael gebar</t>
  </si>
  <si>
    <t>Abram war 100 als ihm Isaak geboren wurde, Sarah wohl 90</t>
  </si>
  <si>
    <t>Serug lebte nach Nahor noch 200 Jahre</t>
  </si>
  <si>
    <t>rückwärts gerechnet, Im 110. J Jakobs stirbt sie mit 155</t>
  </si>
  <si>
    <t>Die Söhne Ismaels werden nicht mit Jahren genannt, jedoch erst nach Abrams Tod aufgelistet. Nebajot war der erste</t>
  </si>
  <si>
    <t>der 2. Sohn Ismaels war Kedar, ohne Jahesangabe</t>
  </si>
  <si>
    <t>der 3. Sohn Ismaels war Adbeel, ohne Jahesangabe</t>
  </si>
  <si>
    <t>der 4. Sohn Ismaels war Mibsam, ohne Jahesangabe</t>
  </si>
  <si>
    <t>der 5. Sohn Ismaels war Mischma, ohne Jahesangabe</t>
  </si>
  <si>
    <t>der 6. Sohn Ismaels war Duma, ohne Jahesangabe</t>
  </si>
  <si>
    <t>der 7. Sohn Ismaels war Massa, ohne Jahesangabe</t>
  </si>
  <si>
    <t>der 8. Sohn Ismaels war Hadad, ohne Jahesangabe</t>
  </si>
  <si>
    <t>Die Lebenszeit Terachs betrug 205 Jahre</t>
  </si>
  <si>
    <t>der 9. Sohn Ismaels war Tema, ohne Jahesangabe</t>
  </si>
  <si>
    <t>der 10. Sohn Ismaels war Jetur, ohne Jahesangabe</t>
  </si>
  <si>
    <t>der 11. Sohn Ismaels war Nafisch, ohne Jahesangabe</t>
  </si>
  <si>
    <t>Sahra starb mit 127 Jahren, Geburtsjahr nicht genau benannt</t>
  </si>
  <si>
    <t>der 12. Sohn Ismaels war Kedmar, ohne Jahesangabe</t>
  </si>
  <si>
    <t>Nach Sahras Tod nahm Abraham Ketura zur Frau, die ihm 6 Söhne und 8 Enkel schenkte. Jahresangaben fehlen, jedoch nach Isaaks Hochzeit. Er schickte alle vor seinem Tode nach Osten.</t>
  </si>
  <si>
    <t>Isaak war 40 als er Rebekka zur Frau nahm, die zunächst kinderlos blieb. Sie wird um die 20 gewesen sein.</t>
  </si>
  <si>
    <t>Arpaschad lebte noch 403 Jahre</t>
  </si>
  <si>
    <t>Isaak war 60 Jahre alt, als seine Söhne geboren wurden</t>
  </si>
  <si>
    <t>Abram lebte 175 Jahre, (müßte also Esau und Jakob noch kennen)</t>
  </si>
  <si>
    <t>Schelach lebte nach Eber noch 403 Jahre</t>
  </si>
  <si>
    <t>Sem lebte nach Arpaschad noch 500 Jahre</t>
  </si>
  <si>
    <t>Lebensjahre Ismaels 137 , dann starb er</t>
  </si>
  <si>
    <t>Isaak wurde aber 180 Jahre alt und starb erst einige Zeit nach Jakobs Rückkehr und noch nach Rahels und Rebekkas Tod.</t>
  </si>
  <si>
    <t>durchschnittliches Vaterschaftsalter vor Noah</t>
  </si>
  <si>
    <t>durchschnittliches Vaterschaftsalter nach Noah</t>
  </si>
  <si>
    <t>gesamt</t>
  </si>
  <si>
    <t>42 Generationen nach Abraham, durchschnittliches Vaterschaftsalter</t>
  </si>
  <si>
    <t>66 Generationen nach Adam</t>
  </si>
  <si>
    <t>angegebenes Vaterschaftsalter</t>
  </si>
  <si>
    <t>angegebenes Lebensalter</t>
  </si>
  <si>
    <t>Umrechnungen</t>
  </si>
  <si>
    <t>Jahr nach jüd. Zeitrechnung vChr</t>
  </si>
  <si>
    <t>Jahr nach Usher</t>
  </si>
  <si>
    <t>Jahr nach Beda Venerablis</t>
  </si>
  <si>
    <t>Diff zu jüd.K.</t>
  </si>
  <si>
    <t>Jahr nach Scalinger</t>
  </si>
  <si>
    <t>gr. orthodox</t>
  </si>
  <si>
    <t>"Das Leben von Adam und Eva"</t>
  </si>
  <si>
    <t>Jahr nach Hans-Günter Rex 4145 4131</t>
  </si>
  <si>
    <t>Buch der Jubiläen</t>
  </si>
</sst>
</file>

<file path=xl/styles.xml><?xml version="1.0" encoding="utf-8"?>
<styleSheet xmlns="http://schemas.openxmlformats.org/spreadsheetml/2006/main">
  <numFmts count="2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 #,##0.00\ \ \ "/>
    <numFmt numFmtId="166" formatCode="\ #,##0\ \ \ "/>
    <numFmt numFmtId="167" formatCode="#,##0"/>
    <numFmt numFmtId="168" formatCode="#,##0.00"/>
    <numFmt numFmtId="169" formatCode="0%"/>
    <numFmt numFmtId="170" formatCode="* #,##0.00 [$€-1]"/>
    <numFmt numFmtId="171" formatCode="* #,##0 [$€-1]"/>
    <numFmt numFmtId="172" formatCode="* #,##0 [$DM-407]"/>
    <numFmt numFmtId="173" formatCode="* #,##0.00 [$DM-407]"/>
    <numFmt numFmtId="174" formatCode="0.00"/>
    <numFmt numFmtId="175" formatCode="0.0"/>
  </numFmts>
  <fonts count="22">
    <font>
      <sz val="10"/>
      <color indexed="8"/>
      <name val="Arial"/>
      <family val="0"/>
    </font>
    <font>
      <b/>
      <u val="single"/>
      <sz val="10"/>
      <color indexed="8"/>
      <name val="Arial"/>
      <family val="0"/>
    </font>
    <font>
      <sz val="8"/>
      <color indexed="8"/>
      <name val="Tahoma"/>
      <family val="0"/>
    </font>
    <font>
      <b/>
      <sz val="8"/>
      <color indexed="8"/>
      <name val="Tahoma"/>
      <family val="0"/>
    </font>
    <font>
      <b/>
      <sz val="10"/>
      <color indexed="8"/>
      <name val="Arial"/>
      <family val="0"/>
    </font>
    <font>
      <b/>
      <u val="single"/>
      <sz val="11"/>
      <color indexed="8"/>
      <name val="Arial"/>
      <family val="0"/>
    </font>
    <font>
      <sz val="9"/>
      <color indexed="8"/>
      <name val="Arial"/>
      <family val="0"/>
    </font>
    <font>
      <i/>
      <sz val="10"/>
      <color indexed="8"/>
      <name val="Arial"/>
      <family val="0"/>
    </font>
    <font>
      <u val="single"/>
      <sz val="10"/>
      <color indexed="8"/>
      <name val="Arial"/>
      <family val="0"/>
    </font>
    <font>
      <b/>
      <i/>
      <u val="single"/>
      <sz val="10"/>
      <color indexed="8"/>
      <name val="Arial"/>
      <family val="0"/>
    </font>
    <font>
      <b/>
      <i/>
      <sz val="10"/>
      <color indexed="10"/>
      <name val="Arial"/>
      <family val="0"/>
    </font>
    <font>
      <i/>
      <u val="single"/>
      <sz val="10"/>
      <color indexed="8"/>
      <name val="Arial"/>
      <family val="0"/>
    </font>
    <font>
      <i/>
      <sz val="8"/>
      <color indexed="8"/>
      <name val="Arial"/>
      <family val="0"/>
    </font>
    <font>
      <i/>
      <sz val="9"/>
      <color indexed="8"/>
      <name val="Arial"/>
      <family val="0"/>
    </font>
    <font>
      <b/>
      <i/>
      <sz val="10"/>
      <color indexed="8"/>
      <name val="Arial"/>
      <family val="0"/>
    </font>
    <font>
      <b/>
      <u val="single"/>
      <sz val="12"/>
      <color indexed="8"/>
      <name val="Arial"/>
      <family val="0"/>
    </font>
    <font>
      <b/>
      <sz val="12"/>
      <color indexed="8"/>
      <name val="Arial"/>
      <family val="0"/>
    </font>
    <font>
      <sz val="12"/>
      <color indexed="8"/>
      <name val="Arial"/>
      <family val="0"/>
    </font>
    <font>
      <sz val="12"/>
      <color indexed="8"/>
      <name val="Times New Roman"/>
      <family val="0"/>
    </font>
    <font>
      <b/>
      <sz val="11"/>
      <color indexed="8"/>
      <name val="Arial"/>
      <family val="0"/>
    </font>
    <font>
      <b/>
      <sz val="10"/>
      <color indexed="8"/>
      <name val="Microsoft Sans Serif"/>
      <family val="0"/>
    </font>
    <font>
      <b/>
      <sz val="8"/>
      <name val="Arial"/>
      <family val="2"/>
    </font>
  </fonts>
  <fills count="3">
    <fill>
      <patternFill/>
    </fill>
    <fill>
      <patternFill patternType="gray125"/>
    </fill>
    <fill>
      <patternFill patternType="solid">
        <fgColor indexed="44"/>
        <bgColor indexed="64"/>
      </patternFill>
    </fill>
  </fills>
  <borders count="12">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25">
    <xf numFmtId="164" fontId="0" fillId="0"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167" fontId="0" fillId="0" borderId="0">
      <alignment/>
      <protection/>
    </xf>
    <xf numFmtId="168" fontId="0" fillId="0" borderId="0">
      <alignment/>
      <protection/>
    </xf>
    <xf numFmtId="169" fontId="0" fillId="0" borderId="0">
      <alignment/>
      <protection/>
    </xf>
    <xf numFmtId="170" fontId="0" fillId="0" borderId="0">
      <alignment/>
      <protection/>
    </xf>
    <xf numFmtId="171" fontId="0" fillId="0" borderId="0">
      <alignment/>
      <protection/>
    </xf>
    <xf numFmtId="172" fontId="0" fillId="0" borderId="0">
      <alignment/>
      <protection/>
    </xf>
    <xf numFmtId="173" fontId="0" fillId="0" borderId="0">
      <alignment/>
      <protection/>
    </xf>
  </cellStyleXfs>
  <cellXfs count="75">
    <xf numFmtId="164" fontId="0" fillId="0" borderId="0" xfId="0" applyAlignment="1">
      <alignment/>
    </xf>
    <xf numFmtId="164" fontId="0" fillId="0" borderId="0" xfId="0" applyAlignment="1">
      <alignment/>
    </xf>
    <xf numFmtId="164" fontId="0" fillId="0" borderId="0" xfId="0" applyAlignment="1" quotePrefix="1">
      <alignment/>
    </xf>
    <xf numFmtId="164" fontId="0" fillId="0" borderId="1" xfId="0" applyAlignment="1">
      <alignment/>
    </xf>
    <xf numFmtId="164" fontId="0" fillId="0" borderId="1" xfId="0" applyAlignment="1" quotePrefix="1">
      <alignment/>
    </xf>
    <xf numFmtId="164" fontId="0" fillId="0" borderId="2" xfId="0" applyAlignment="1">
      <alignment/>
    </xf>
    <xf numFmtId="164" fontId="0" fillId="0" borderId="2" xfId="0" applyAlignment="1" quotePrefix="1">
      <alignment/>
    </xf>
    <xf numFmtId="164" fontId="0" fillId="0" borderId="3" xfId="0" applyAlignment="1">
      <alignment/>
    </xf>
    <xf numFmtId="164" fontId="0" fillId="0" borderId="3" xfId="0" applyAlignment="1" quotePrefix="1">
      <alignment/>
    </xf>
    <xf numFmtId="164" fontId="0" fillId="0" borderId="4" xfId="0" applyAlignment="1">
      <alignment/>
    </xf>
    <xf numFmtId="164" fontId="0" fillId="0" borderId="5" xfId="0" applyAlignment="1">
      <alignment/>
    </xf>
    <xf numFmtId="164" fontId="0" fillId="0" borderId="5" xfId="0" applyAlignment="1" quotePrefix="1">
      <alignment/>
    </xf>
    <xf numFmtId="164" fontId="0" fillId="0" borderId="6" xfId="0" applyAlignment="1">
      <alignment/>
    </xf>
    <xf numFmtId="164" fontId="0" fillId="0" borderId="7" xfId="0" applyAlignment="1">
      <alignment/>
    </xf>
    <xf numFmtId="164" fontId="0" fillId="0" borderId="7" xfId="0" applyAlignment="1" quotePrefix="1">
      <alignment/>
    </xf>
    <xf numFmtId="164" fontId="0" fillId="0" borderId="0" xfId="0" applyAlignment="1">
      <alignment vertical="center" wrapText="1"/>
    </xf>
    <xf numFmtId="164" fontId="0" fillId="0" borderId="8" xfId="0" applyAlignment="1">
      <alignment/>
    </xf>
    <xf numFmtId="164" fontId="1" fillId="0" borderId="8" xfId="0" applyAlignment="1">
      <alignment/>
    </xf>
    <xf numFmtId="164" fontId="4" fillId="0" borderId="0" xfId="0" applyAlignment="1">
      <alignment/>
    </xf>
    <xf numFmtId="164" fontId="5" fillId="0" borderId="0" xfId="0" applyAlignment="1">
      <alignment/>
    </xf>
    <xf numFmtId="164" fontId="4" fillId="0" borderId="1" xfId="0" applyAlignment="1">
      <alignment/>
    </xf>
    <xf numFmtId="164" fontId="4" fillId="0" borderId="1" xfId="0" applyAlignment="1">
      <alignment horizontal="center"/>
    </xf>
    <xf numFmtId="164" fontId="0" fillId="2" borderId="1" xfId="0" applyAlignment="1">
      <alignment/>
    </xf>
    <xf numFmtId="164" fontId="0" fillId="2" borderId="3" xfId="0" applyAlignment="1">
      <alignment/>
    </xf>
    <xf numFmtId="164" fontId="0" fillId="2" borderId="2" xfId="0" applyAlignment="1">
      <alignment/>
    </xf>
    <xf numFmtId="164" fontId="0" fillId="2" borderId="0" xfId="0" applyAlignment="1">
      <alignment/>
    </xf>
    <xf numFmtId="164" fontId="1" fillId="2" borderId="0" xfId="0" applyAlignment="1">
      <alignment horizontal="center"/>
    </xf>
    <xf numFmtId="164" fontId="6" fillId="0" borderId="2" xfId="0" applyAlignment="1">
      <alignment/>
    </xf>
    <xf numFmtId="164" fontId="7" fillId="0" borderId="0" xfId="0" applyAlignment="1">
      <alignment/>
    </xf>
    <xf numFmtId="164" fontId="1" fillId="0" borderId="0" xfId="0" applyAlignment="1">
      <alignment/>
    </xf>
    <xf numFmtId="164" fontId="1" fillId="0" borderId="2" xfId="0" applyAlignment="1">
      <alignment/>
    </xf>
    <xf numFmtId="164" fontId="0" fillId="0" borderId="9" xfId="0" applyAlignment="1">
      <alignment/>
    </xf>
    <xf numFmtId="164" fontId="0" fillId="0" borderId="10" xfId="0" applyAlignment="1">
      <alignment/>
    </xf>
    <xf numFmtId="164" fontId="9" fillId="2" borderId="1" xfId="0" applyAlignment="1">
      <alignment/>
    </xf>
    <xf numFmtId="164" fontId="10" fillId="0" borderId="0" xfId="0" applyAlignment="1">
      <alignment/>
    </xf>
    <xf numFmtId="164" fontId="4" fillId="2" borderId="1" xfId="0" applyAlignment="1">
      <alignment/>
    </xf>
    <xf numFmtId="164" fontId="11" fillId="0" borderId="1" xfId="0" applyAlignment="1">
      <alignment/>
    </xf>
    <xf numFmtId="164" fontId="11" fillId="0" borderId="0" xfId="0" applyAlignment="1">
      <alignment/>
    </xf>
    <xf numFmtId="164" fontId="8" fillId="0" borderId="0" xfId="0" applyAlignment="1">
      <alignment/>
    </xf>
    <xf numFmtId="164" fontId="6" fillId="0" borderId="0" xfId="0" applyAlignment="1">
      <alignment/>
    </xf>
    <xf numFmtId="164" fontId="6" fillId="0" borderId="6" xfId="0" applyAlignment="1">
      <alignment/>
    </xf>
    <xf numFmtId="164" fontId="6" fillId="0" borderId="11" xfId="0" applyAlignment="1">
      <alignment/>
    </xf>
    <xf numFmtId="164" fontId="12" fillId="0" borderId="0" xfId="0" applyAlignment="1">
      <alignment/>
    </xf>
    <xf numFmtId="164" fontId="12" fillId="0" borderId="0" xfId="0" applyAlignment="1" quotePrefix="1">
      <alignment/>
    </xf>
    <xf numFmtId="164" fontId="13" fillId="0" borderId="0" xfId="0" applyAlignment="1">
      <alignment/>
    </xf>
    <xf numFmtId="164" fontId="13" fillId="0" borderId="0" xfId="0" applyAlignment="1">
      <alignment horizontal="center"/>
    </xf>
    <xf numFmtId="164" fontId="14" fillId="0" borderId="0" xfId="0" applyAlignment="1">
      <alignment/>
    </xf>
    <xf numFmtId="164" fontId="4" fillId="0" borderId="0" xfId="0" applyAlignment="1">
      <alignment horizontal="center"/>
    </xf>
    <xf numFmtId="164" fontId="0" fillId="0" borderId="0" xfId="0" applyAlignment="1">
      <alignment horizontal="center"/>
    </xf>
    <xf numFmtId="164" fontId="7" fillId="0" borderId="0" xfId="0" applyAlignment="1">
      <alignment horizontal="center"/>
    </xf>
    <xf numFmtId="174" fontId="0" fillId="0" borderId="0" xfId="0" applyAlignment="1">
      <alignment/>
    </xf>
    <xf numFmtId="164" fontId="15" fillId="0" borderId="0" xfId="0" applyAlignment="1">
      <alignment/>
    </xf>
    <xf numFmtId="164" fontId="4" fillId="0" borderId="8" xfId="0" applyAlignment="1">
      <alignment/>
    </xf>
    <xf numFmtId="164" fontId="16" fillId="0" borderId="0" xfId="0" applyAlignment="1">
      <alignment/>
    </xf>
    <xf numFmtId="164" fontId="17" fillId="0" borderId="0" xfId="0" applyAlignment="1">
      <alignment/>
    </xf>
    <xf numFmtId="164" fontId="4" fillId="0" borderId="0" xfId="0" applyAlignment="1">
      <alignment vertical="center" wrapText="1"/>
    </xf>
    <xf numFmtId="164" fontId="19" fillId="0" borderId="0" xfId="0" applyAlignment="1">
      <alignment vertical="center" wrapText="1"/>
    </xf>
    <xf numFmtId="164" fontId="20" fillId="0" borderId="0" xfId="0" applyAlignment="1">
      <alignment vertical="center" wrapText="1"/>
    </xf>
    <xf numFmtId="164" fontId="19" fillId="0" borderId="0" xfId="0" applyAlignment="1">
      <alignment horizontal="center" vertical="center" wrapText="1"/>
    </xf>
    <xf numFmtId="164" fontId="0" fillId="0" borderId="8" xfId="0" applyAlignment="1">
      <alignment horizontal="center"/>
    </xf>
    <xf numFmtId="164" fontId="0" fillId="0" borderId="0" xfId="0" applyAlignment="1">
      <alignment horizontal="center" vertical="center" wrapText="1"/>
    </xf>
    <xf numFmtId="175" fontId="0" fillId="0" borderId="0" xfId="0" applyAlignment="1">
      <alignment/>
    </xf>
    <xf numFmtId="164" fontId="0" fillId="0" borderId="0" xfId="0" applyAlignment="1">
      <alignment/>
    </xf>
    <xf numFmtId="164" fontId="0" fillId="0" borderId="0" xfId="0" applyAlignment="1">
      <alignment vertical="center"/>
    </xf>
    <xf numFmtId="164" fontId="0" fillId="0" borderId="0" xfId="0" applyAlignment="1">
      <alignment vertical="center"/>
    </xf>
    <xf numFmtId="164" fontId="18" fillId="0" borderId="0" xfId="0" applyAlignment="1">
      <alignment/>
    </xf>
    <xf numFmtId="165" fontId="0" fillId="0" borderId="0" xfId="16">
      <alignment/>
      <protection/>
    </xf>
    <xf numFmtId="166" fontId="0" fillId="0" borderId="0" xfId="17">
      <alignment/>
      <protection/>
    </xf>
    <xf numFmtId="167" fontId="0" fillId="0" borderId="0" xfId="18">
      <alignment/>
      <protection/>
    </xf>
    <xf numFmtId="168" fontId="0" fillId="0" borderId="0" xfId="19">
      <alignment/>
      <protection/>
    </xf>
    <xf numFmtId="169" fontId="0" fillId="0" borderId="0" xfId="20">
      <alignment/>
      <protection/>
    </xf>
    <xf numFmtId="170" fontId="0" fillId="0" borderId="0" xfId="21">
      <alignment/>
      <protection/>
    </xf>
    <xf numFmtId="171" fontId="0" fillId="0" borderId="0" xfId="22">
      <alignment/>
      <protection/>
    </xf>
    <xf numFmtId="172" fontId="0" fillId="0" borderId="0" xfId="23">
      <alignment/>
      <protection/>
    </xf>
    <xf numFmtId="173" fontId="0" fillId="0" borderId="0" xfId="24">
      <alignment/>
      <protection/>
    </xf>
  </cellXfs>
  <cellStyles count="10">
    <cellStyle name="Normal" xfId="0"/>
    <cellStyle name="Comma" xfId="16"/>
    <cellStyle name="Comma [0]" xfId="17"/>
    <cellStyle name="Dezimal [0]_Mappe1" xfId="18"/>
    <cellStyle name="Dezimal_Mappe1" xfId="19"/>
    <cellStyle name="Percent" xfId="20"/>
    <cellStyle name="Currency" xfId="21"/>
    <cellStyle name="Currency [0]" xfId="22"/>
    <cellStyle name="Währung [0]_Mappe1" xfId="23"/>
    <cellStyle name="Währung_Mappe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171"/>
  <sheetViews>
    <sheetView tabSelected="1" workbookViewId="0" topLeftCell="A126">
      <selection activeCell="B139" sqref="B139"/>
    </sheetView>
  </sheetViews>
  <sheetFormatPr defaultColWidth="10.00390625" defaultRowHeight="12.75"/>
  <cols>
    <col min="1" max="256" width="10.7109375" style="0" customWidth="1"/>
  </cols>
  <sheetData>
    <row r="1" spans="1:31" ht="12.75">
      <c r="A1" t="s">
        <v>0</v>
      </c>
      <c r="F1" t="s">
        <v>139</v>
      </c>
      <c r="P1" t="s">
        <v>198</v>
      </c>
      <c r="R1" t="s">
        <v>227</v>
      </c>
      <c r="AE1" t="s">
        <v>304</v>
      </c>
    </row>
    <row r="2" spans="2:31" ht="12.75">
      <c r="B2" t="s">
        <v>2</v>
      </c>
      <c r="F2" t="s">
        <v>140</v>
      </c>
      <c r="P2" t="s">
        <v>199</v>
      </c>
      <c r="R2" s="3" t="s">
        <v>139</v>
      </c>
      <c r="AB2" s="37" t="s">
        <v>265</v>
      </c>
      <c r="AE2" s="38" t="s">
        <v>305</v>
      </c>
    </row>
    <row r="3" spans="1:52" ht="12.75">
      <c r="A3" s="3" t="s">
        <v>1</v>
      </c>
      <c r="B3" s="3" t="s">
        <v>3</v>
      </c>
      <c r="C3" s="21" t="s">
        <v>5</v>
      </c>
      <c r="D3" s="21" t="s">
        <v>83</v>
      </c>
      <c r="E3" s="20" t="s">
        <v>124</v>
      </c>
      <c r="F3" s="3" t="s">
        <v>141</v>
      </c>
      <c r="G3" s="3" t="s">
        <v>143</v>
      </c>
      <c r="H3" s="3" t="s">
        <v>149</v>
      </c>
      <c r="I3" s="3" t="s">
        <v>154</v>
      </c>
      <c r="J3" s="3" t="s">
        <v>158</v>
      </c>
      <c r="K3" s="3" t="s">
        <v>166</v>
      </c>
      <c r="L3" s="3" t="s">
        <v>170</v>
      </c>
      <c r="M3" s="3" t="s">
        <v>173</v>
      </c>
      <c r="N3" s="3" t="s">
        <v>183</v>
      </c>
      <c r="O3" t="s">
        <v>192</v>
      </c>
      <c r="P3" s="3" t="s">
        <v>3</v>
      </c>
      <c r="Q3" s="3" t="s">
        <v>200</v>
      </c>
      <c r="R3" s="3" t="s">
        <v>228</v>
      </c>
      <c r="S3" s="3" t="s">
        <v>233</v>
      </c>
      <c r="T3" s="3" t="s">
        <v>235</v>
      </c>
      <c r="U3" s="3" t="s">
        <v>241</v>
      </c>
      <c r="V3" s="3" t="s">
        <v>244</v>
      </c>
      <c r="W3" s="3" t="s">
        <v>249</v>
      </c>
      <c r="X3" s="3" t="s">
        <v>251</v>
      </c>
      <c r="Y3" s="3" t="s">
        <v>256</v>
      </c>
      <c r="Z3" s="3" t="s">
        <v>260</v>
      </c>
      <c r="AA3" s="3" t="s">
        <v>263</v>
      </c>
      <c r="AB3" s="36" t="s">
        <v>266</v>
      </c>
      <c r="AC3" s="36" t="s">
        <v>260</v>
      </c>
      <c r="AD3" s="36" t="s">
        <v>296</v>
      </c>
      <c r="AE3" s="3" t="s">
        <v>306</v>
      </c>
      <c r="AF3" s="3" t="s">
        <v>322</v>
      </c>
      <c r="AG3" s="4" t="s">
        <v>4</v>
      </c>
      <c r="AH3" s="4" t="s">
        <v>4</v>
      </c>
      <c r="AI3" s="4" t="s">
        <v>4</v>
      </c>
      <c r="AJ3" s="4" t="s">
        <v>4</v>
      </c>
      <c r="AK3" s="4" t="s">
        <v>4</v>
      </c>
      <c r="AL3" s="4" t="s">
        <v>4</v>
      </c>
      <c r="AM3" s="4" t="s">
        <v>4</v>
      </c>
      <c r="AN3" s="4" t="s">
        <v>4</v>
      </c>
      <c r="AO3" s="4" t="s">
        <v>4</v>
      </c>
      <c r="AP3" s="4" t="s">
        <v>4</v>
      </c>
      <c r="AQ3" s="4" t="s">
        <v>4</v>
      </c>
      <c r="AR3" s="4" t="s">
        <v>4</v>
      </c>
      <c r="AS3" s="4" t="s">
        <v>4</v>
      </c>
      <c r="AT3" s="4" t="s">
        <v>4</v>
      </c>
      <c r="AU3" s="4" t="s">
        <v>4</v>
      </c>
      <c r="AV3" s="4" t="s">
        <v>4</v>
      </c>
      <c r="AW3" s="4" t="s">
        <v>4</v>
      </c>
      <c r="AX3" s="4" t="s">
        <v>4</v>
      </c>
      <c r="AY3" s="4" t="s">
        <v>4</v>
      </c>
      <c r="AZ3" s="2" t="s">
        <v>4</v>
      </c>
    </row>
    <row r="4" spans="1:17" ht="12.75">
      <c r="A4">
        <v>1</v>
      </c>
      <c r="B4" s="5">
        <v>3761</v>
      </c>
      <c r="C4" t="s">
        <v>6</v>
      </c>
      <c r="D4" t="s">
        <v>6</v>
      </c>
      <c r="E4" t="s">
        <v>125</v>
      </c>
      <c r="P4">
        <v>3761</v>
      </c>
      <c r="Q4" t="s">
        <v>201</v>
      </c>
    </row>
    <row r="5" spans="1:17" ht="12.75">
      <c r="A5">
        <v>7</v>
      </c>
      <c r="B5" s="5">
        <f>$B$4-A5</f>
        <v>3754</v>
      </c>
      <c r="C5" s="2" t="s">
        <v>4</v>
      </c>
      <c r="D5" s="5" t="s">
        <v>8</v>
      </c>
      <c r="E5" t="s">
        <v>126</v>
      </c>
      <c r="F5" s="18" t="s">
        <v>141</v>
      </c>
      <c r="P5">
        <v>3754</v>
      </c>
      <c r="Q5" t="s">
        <v>202</v>
      </c>
    </row>
    <row r="6" spans="1:16" ht="12.75">
      <c r="A6">
        <f>130-122</f>
        <v>8</v>
      </c>
      <c r="B6" s="5">
        <f>$B$4-A6</f>
        <v>3753</v>
      </c>
      <c r="C6" s="2" t="s">
        <v>4</v>
      </c>
      <c r="D6" s="5" t="s">
        <v>8</v>
      </c>
      <c r="E6" s="6" t="s">
        <v>4</v>
      </c>
      <c r="F6" t="s">
        <v>6</v>
      </c>
      <c r="G6" s="18" t="s">
        <v>143</v>
      </c>
      <c r="P6" s="3">
        <v>3753</v>
      </c>
    </row>
    <row r="7" spans="1:16" ht="12.75">
      <c r="A7" s="3">
        <v>130</v>
      </c>
      <c r="B7" s="5">
        <f>$B$4-A7</f>
        <v>3631</v>
      </c>
      <c r="C7" s="4" t="s">
        <v>4</v>
      </c>
      <c r="D7" s="7" t="s">
        <v>8</v>
      </c>
      <c r="E7" s="8" t="s">
        <v>4</v>
      </c>
      <c r="G7">
        <v>130</v>
      </c>
      <c r="H7" s="18" t="s">
        <v>149</v>
      </c>
      <c r="P7">
        <v>3631</v>
      </c>
    </row>
    <row r="8" spans="1:17" ht="12.75">
      <c r="A8">
        <v>130</v>
      </c>
      <c r="B8" s="5">
        <f>$B$4-A8</f>
        <v>3631</v>
      </c>
      <c r="C8" s="2" t="s">
        <v>7</v>
      </c>
      <c r="D8" s="5" t="s">
        <v>8</v>
      </c>
      <c r="E8" s="5" t="s">
        <v>127</v>
      </c>
      <c r="G8" s="9" t="s">
        <v>6</v>
      </c>
      <c r="H8">
        <f>130+105</f>
        <v>235</v>
      </c>
      <c r="I8" s="28">
        <f>$B$4-H8</f>
        <v>3526</v>
      </c>
      <c r="J8" s="28" t="s">
        <v>113</v>
      </c>
      <c r="P8">
        <v>3631</v>
      </c>
      <c r="Q8" t="s">
        <v>203</v>
      </c>
    </row>
    <row r="9" spans="1:17" ht="12.75">
      <c r="A9">
        <f>130+105</f>
        <v>235</v>
      </c>
      <c r="B9" s="5">
        <f>$B$4-A9</f>
        <v>3526</v>
      </c>
      <c r="C9" t="s">
        <v>8</v>
      </c>
      <c r="D9" s="5" t="s">
        <v>8</v>
      </c>
      <c r="E9" s="5" t="s">
        <v>128</v>
      </c>
      <c r="F9" t="s">
        <v>142</v>
      </c>
      <c r="G9" s="5" t="s">
        <v>144</v>
      </c>
      <c r="H9" t="s">
        <v>6</v>
      </c>
      <c r="I9" s="18" t="s">
        <v>154</v>
      </c>
      <c r="P9">
        <v>3526</v>
      </c>
      <c r="Q9" t="s">
        <v>204</v>
      </c>
    </row>
    <row r="10" spans="1:16" ht="12.75">
      <c r="A10">
        <f>130+105</f>
        <v>235</v>
      </c>
      <c r="B10" s="5">
        <f>$B$4-A10</f>
        <v>3526</v>
      </c>
      <c r="C10" t="s">
        <v>8</v>
      </c>
      <c r="D10" s="5" t="s">
        <v>8</v>
      </c>
      <c r="E10" s="27" t="s">
        <v>129</v>
      </c>
      <c r="F10">
        <f>A6+122</f>
        <v>130</v>
      </c>
      <c r="G10" s="5" t="s">
        <v>8</v>
      </c>
      <c r="H10" s="9" t="s">
        <v>150</v>
      </c>
      <c r="I10" t="s">
        <v>6</v>
      </c>
      <c r="P10">
        <v>3436</v>
      </c>
    </row>
    <row r="11" spans="1:16" ht="12.75">
      <c r="A11" s="28">
        <v>350</v>
      </c>
      <c r="B11" s="5">
        <f>$B$4-A11</f>
        <v>3411</v>
      </c>
      <c r="C11" t="s">
        <v>8</v>
      </c>
      <c r="D11" s="5" t="s">
        <v>8</v>
      </c>
      <c r="E11" s="5" t="s">
        <v>130</v>
      </c>
      <c r="G11" s="5" t="s">
        <v>8</v>
      </c>
      <c r="H11" s="5" t="s">
        <v>151</v>
      </c>
      <c r="I11">
        <f>130+105+90</f>
        <v>325</v>
      </c>
      <c r="J11" s="28">
        <f>$B$4-I11</f>
        <v>3436</v>
      </c>
      <c r="K11" s="28" t="s">
        <v>113</v>
      </c>
      <c r="P11">
        <v>3411</v>
      </c>
    </row>
    <row r="12" spans="1:16" ht="12.75">
      <c r="A12" s="28">
        <v>370</v>
      </c>
      <c r="B12" s="5">
        <f>$B$4-A12</f>
        <v>3391</v>
      </c>
      <c r="C12" t="s">
        <v>8</v>
      </c>
      <c r="D12" s="5" t="s">
        <v>8</v>
      </c>
      <c r="E12" s="5" t="s">
        <v>131</v>
      </c>
      <c r="G12" s="5" t="s">
        <v>8</v>
      </c>
      <c r="H12" s="5" t="s">
        <v>152</v>
      </c>
      <c r="I12" s="2" t="s">
        <v>4</v>
      </c>
      <c r="J12" s="18" t="s">
        <v>159</v>
      </c>
      <c r="P12">
        <v>3391</v>
      </c>
    </row>
    <row r="13" spans="1:17" ht="12.75">
      <c r="A13">
        <f>130+105+90+70</f>
        <v>395</v>
      </c>
      <c r="B13" s="5">
        <f>$B$4-A13</f>
        <v>3366</v>
      </c>
      <c r="C13" t="s">
        <v>8</v>
      </c>
      <c r="D13" s="5" t="s">
        <v>8</v>
      </c>
      <c r="E13" s="6" t="s">
        <v>4</v>
      </c>
      <c r="G13" s="5" t="s">
        <v>8</v>
      </c>
      <c r="H13" s="6" t="s">
        <v>4</v>
      </c>
      <c r="I13" s="9" t="s">
        <v>155</v>
      </c>
      <c r="J13" t="s">
        <v>6</v>
      </c>
      <c r="K13" s="28">
        <f>$B$4-J14</f>
        <v>3366</v>
      </c>
      <c r="L13" s="28" t="s">
        <v>113</v>
      </c>
      <c r="P13">
        <v>3366</v>
      </c>
      <c r="Q13" t="s">
        <v>205</v>
      </c>
    </row>
    <row r="14" spans="1:16" ht="12.75">
      <c r="A14">
        <v>400</v>
      </c>
      <c r="B14" s="5">
        <f>$B$4-A14</f>
        <v>3361</v>
      </c>
      <c r="C14" t="s">
        <v>8</v>
      </c>
      <c r="D14" s="5" t="s">
        <v>8</v>
      </c>
      <c r="E14" s="5" t="s">
        <v>132</v>
      </c>
      <c r="G14" s="5" t="s">
        <v>8</v>
      </c>
      <c r="H14" s="6" t="s">
        <v>4</v>
      </c>
      <c r="I14" s="6" t="s">
        <v>4</v>
      </c>
      <c r="J14">
        <f>130+105+90+70</f>
        <v>395</v>
      </c>
      <c r="K14" s="18" t="s">
        <v>166</v>
      </c>
      <c r="P14">
        <v>3361</v>
      </c>
    </row>
    <row r="15" spans="1:16" ht="12.75">
      <c r="A15">
        <f>130+105+90+70+65</f>
        <v>460</v>
      </c>
      <c r="B15" s="5">
        <f>$B$4-A15</f>
        <v>3301</v>
      </c>
      <c r="C15" t="s">
        <v>8</v>
      </c>
      <c r="D15" s="5" t="s">
        <v>8</v>
      </c>
      <c r="E15" s="5" t="s">
        <v>133</v>
      </c>
      <c r="G15" s="6" t="s">
        <v>4</v>
      </c>
      <c r="H15" s="6" t="s">
        <v>4</v>
      </c>
      <c r="I15" s="6" t="s">
        <v>4</v>
      </c>
      <c r="J15" s="5" t="s">
        <v>160</v>
      </c>
      <c r="K15" t="s">
        <v>6</v>
      </c>
      <c r="P15">
        <v>3261</v>
      </c>
    </row>
    <row r="16" spans="1:17" ht="12.75">
      <c r="A16">
        <f>130+105+90+70+65</f>
        <v>460</v>
      </c>
      <c r="B16" s="5">
        <f>$B$4-A16</f>
        <v>3301</v>
      </c>
      <c r="C16" t="s">
        <v>8</v>
      </c>
      <c r="D16" s="5" t="s">
        <v>8</v>
      </c>
      <c r="E16" s="6" t="s">
        <v>134</v>
      </c>
      <c r="G16" s="5" t="s">
        <v>145</v>
      </c>
      <c r="H16" s="6" t="s">
        <v>4</v>
      </c>
      <c r="I16" s="6" t="s">
        <v>4</v>
      </c>
      <c r="J16" s="9" t="s">
        <v>161</v>
      </c>
      <c r="K16">
        <f>130+105+90+70+65</f>
        <v>460</v>
      </c>
      <c r="L16" s="28">
        <f>$B$4-K16</f>
        <v>3301</v>
      </c>
      <c r="M16" s="28" t="s">
        <v>113</v>
      </c>
      <c r="P16">
        <v>3301</v>
      </c>
      <c r="Q16" t="s">
        <v>206</v>
      </c>
    </row>
    <row r="17" spans="1:16" ht="12.75">
      <c r="A17">
        <v>530</v>
      </c>
      <c r="B17" s="5">
        <f>$B$4-A17</f>
        <v>3231</v>
      </c>
      <c r="C17" t="s">
        <v>8</v>
      </c>
      <c r="D17" s="5" t="s">
        <v>8</v>
      </c>
      <c r="E17" s="5" t="s">
        <v>135</v>
      </c>
      <c r="G17" s="6" t="s">
        <v>4</v>
      </c>
      <c r="H17" s="6" t="s">
        <v>4</v>
      </c>
      <c r="I17" s="6" t="s">
        <v>4</v>
      </c>
      <c r="J17">
        <f>130+105+90+70+135</f>
        <v>530</v>
      </c>
      <c r="K17" s="2" t="s">
        <v>4</v>
      </c>
      <c r="P17">
        <v>3231</v>
      </c>
    </row>
    <row r="18" spans="1:16" ht="12.75">
      <c r="A18">
        <f>130+105+90+70+135</f>
        <v>530</v>
      </c>
      <c r="B18" s="6" t="s">
        <v>4</v>
      </c>
      <c r="C18" t="s">
        <v>8</v>
      </c>
      <c r="D18" s="5" t="s">
        <v>8</v>
      </c>
      <c r="E18" s="31" t="s">
        <v>136</v>
      </c>
      <c r="G18" s="6" t="s">
        <v>4</v>
      </c>
      <c r="H18" s="6" t="s">
        <v>4</v>
      </c>
      <c r="I18" s="6" t="s">
        <v>4</v>
      </c>
      <c r="J18" s="5" t="s">
        <v>162</v>
      </c>
      <c r="K18" s="2" t="s">
        <v>4</v>
      </c>
      <c r="P18">
        <v>0</v>
      </c>
    </row>
    <row r="19" spans="1:16" ht="12.75">
      <c r="A19">
        <v>600</v>
      </c>
      <c r="B19" s="5">
        <f>$B$4-A19</f>
        <v>3161</v>
      </c>
      <c r="C19" t="s">
        <v>8</v>
      </c>
      <c r="D19" s="5" t="s">
        <v>8</v>
      </c>
      <c r="E19" s="13"/>
      <c r="G19" s="5" t="s">
        <v>9</v>
      </c>
      <c r="H19" s="6" t="s">
        <v>4</v>
      </c>
      <c r="I19" s="6" t="s">
        <v>4</v>
      </c>
      <c r="J19" s="5" t="s">
        <v>163</v>
      </c>
      <c r="K19" s="2" t="s">
        <v>4</v>
      </c>
      <c r="L19" s="18" t="s">
        <v>170</v>
      </c>
      <c r="P19">
        <v>3161</v>
      </c>
    </row>
    <row r="20" spans="1:17" ht="12.75">
      <c r="A20">
        <f>130+105+90+70+65+162</f>
        <v>622</v>
      </c>
      <c r="B20" s="5">
        <f>$B$4-A20</f>
        <v>3139</v>
      </c>
      <c r="C20" t="s">
        <v>8</v>
      </c>
      <c r="D20" s="5" t="s">
        <v>8</v>
      </c>
      <c r="E20" s="13"/>
      <c r="G20" s="5">
        <v>912</v>
      </c>
      <c r="H20" s="6" t="s">
        <v>4</v>
      </c>
      <c r="I20" s="6" t="s">
        <v>4</v>
      </c>
      <c r="J20" s="6" t="s">
        <v>4</v>
      </c>
      <c r="K20" s="5">
        <v>622</v>
      </c>
      <c r="L20" t="s">
        <v>6</v>
      </c>
      <c r="M20" s="28">
        <f>$B$4-L21</f>
        <v>3139</v>
      </c>
      <c r="N20" s="28" t="s">
        <v>113</v>
      </c>
      <c r="P20">
        <v>3139</v>
      </c>
      <c r="Q20" t="s">
        <v>207</v>
      </c>
    </row>
    <row r="21" spans="1:16" ht="12.75">
      <c r="A21">
        <f>130+105+90+70+65+162</f>
        <v>622</v>
      </c>
      <c r="B21" s="5">
        <f>$B$4-A21</f>
        <v>3139</v>
      </c>
      <c r="C21" t="s">
        <v>8</v>
      </c>
      <c r="D21" s="5" t="s">
        <v>8</v>
      </c>
      <c r="E21" s="13"/>
      <c r="G21" s="5" t="s">
        <v>146</v>
      </c>
      <c r="H21" s="6" t="s">
        <v>4</v>
      </c>
      <c r="I21" s="6" t="s">
        <v>4</v>
      </c>
      <c r="J21" s="6" t="s">
        <v>4</v>
      </c>
      <c r="K21" s="5" t="s">
        <v>167</v>
      </c>
      <c r="L21">
        <f>130+105+90+70+65+162</f>
        <v>622</v>
      </c>
      <c r="M21" s="18" t="s">
        <v>174</v>
      </c>
      <c r="P21" s="5">
        <v>3139</v>
      </c>
    </row>
    <row r="22" spans="3:16" ht="12.75">
      <c r="C22" t="s">
        <v>8</v>
      </c>
      <c r="D22" s="5" t="s">
        <v>8</v>
      </c>
      <c r="E22" s="13"/>
      <c r="G22" s="6" t="s">
        <v>4</v>
      </c>
      <c r="H22" s="6" t="s">
        <v>4</v>
      </c>
      <c r="I22" s="6" t="s">
        <v>4</v>
      </c>
      <c r="J22" s="6" t="s">
        <v>4</v>
      </c>
      <c r="K22" s="6" t="s">
        <v>4</v>
      </c>
      <c r="L22" t="s">
        <v>171</v>
      </c>
      <c r="P22">
        <v>0</v>
      </c>
    </row>
    <row r="23" spans="1:17" ht="12.75">
      <c r="A23">
        <f>130+105+90+70+65+162+65</f>
        <v>687</v>
      </c>
      <c r="B23" s="5">
        <f>$B$4-A23</f>
        <v>3074</v>
      </c>
      <c r="C23" t="s">
        <v>8</v>
      </c>
      <c r="D23" s="5" t="s">
        <v>8</v>
      </c>
      <c r="E23" s="13"/>
      <c r="G23" s="6" t="s">
        <v>4</v>
      </c>
      <c r="H23" s="6" t="s">
        <v>4</v>
      </c>
      <c r="I23" s="6" t="s">
        <v>4</v>
      </c>
      <c r="J23" s="6" t="s">
        <v>4</v>
      </c>
      <c r="K23" s="6" t="s">
        <v>4</v>
      </c>
      <c r="L23" s="6" t="s">
        <v>4</v>
      </c>
      <c r="M23" t="s">
        <v>6</v>
      </c>
      <c r="N23" s="28">
        <f>$B$4-M24</f>
        <v>3074</v>
      </c>
      <c r="O23" s="28" t="s">
        <v>113</v>
      </c>
      <c r="P23">
        <v>3074</v>
      </c>
      <c r="Q23" t="s">
        <v>208</v>
      </c>
    </row>
    <row r="24" spans="1:16" ht="12.75">
      <c r="A24">
        <f>130+105+90+70+65+162+65</f>
        <v>687</v>
      </c>
      <c r="B24" s="5">
        <f>$B$4-A24</f>
        <v>3074</v>
      </c>
      <c r="C24" t="s">
        <v>8</v>
      </c>
      <c r="D24" s="5" t="s">
        <v>8</v>
      </c>
      <c r="E24" s="13"/>
      <c r="G24" s="6" t="s">
        <v>4</v>
      </c>
      <c r="H24" s="6" t="s">
        <v>4</v>
      </c>
      <c r="I24" s="6" t="s">
        <v>4</v>
      </c>
      <c r="J24" s="6" t="s">
        <v>4</v>
      </c>
      <c r="K24" s="6" t="s">
        <v>4</v>
      </c>
      <c r="L24" s="6" t="s">
        <v>4</v>
      </c>
      <c r="M24">
        <f>130+105+90+70+65+162+65</f>
        <v>687</v>
      </c>
      <c r="N24" s="18" t="s">
        <v>183</v>
      </c>
      <c r="P24">
        <v>3074</v>
      </c>
    </row>
    <row r="25" spans="1:17" ht="12.75">
      <c r="A25">
        <f>A5+820</f>
        <v>827</v>
      </c>
      <c r="B25" s="5">
        <v>2920</v>
      </c>
      <c r="C25" t="s">
        <v>8</v>
      </c>
      <c r="D25" s="5" t="s">
        <v>8</v>
      </c>
      <c r="E25" s="32">
        <f>A5+820</f>
        <v>827</v>
      </c>
      <c r="G25" s="6" t="s">
        <v>4</v>
      </c>
      <c r="H25" s="6" t="s">
        <v>4</v>
      </c>
      <c r="I25" s="6" t="s">
        <v>4</v>
      </c>
      <c r="J25" s="6" t="s">
        <v>4</v>
      </c>
      <c r="K25" s="6" t="s">
        <v>4</v>
      </c>
      <c r="L25" s="5" t="s">
        <v>172</v>
      </c>
      <c r="M25" s="9" t="s">
        <v>175</v>
      </c>
      <c r="N25" t="s">
        <v>6</v>
      </c>
      <c r="P25">
        <v>2920</v>
      </c>
      <c r="Q25" t="s">
        <v>209</v>
      </c>
    </row>
    <row r="26" spans="1:20" ht="12.75">
      <c r="A26">
        <f>130+105+90+70+65+162+65+187</f>
        <v>874</v>
      </c>
      <c r="B26" s="5">
        <f>$B$4-A26</f>
        <v>2887</v>
      </c>
      <c r="C26" t="s">
        <v>9</v>
      </c>
      <c r="D26" s="5" t="s">
        <v>8</v>
      </c>
      <c r="G26" s="6" t="s">
        <v>4</v>
      </c>
      <c r="H26" s="6" t="s">
        <v>4</v>
      </c>
      <c r="I26" s="6" t="s">
        <v>4</v>
      </c>
      <c r="J26" s="6" t="s">
        <v>4</v>
      </c>
      <c r="K26" s="6" t="s">
        <v>4</v>
      </c>
      <c r="L26" s="5" t="s">
        <v>9</v>
      </c>
      <c r="M26">
        <f>130+105+90+70+65+162+65+187</f>
        <v>874</v>
      </c>
      <c r="N26">
        <f>130+105+90+70+65+162+65+187</f>
        <v>874</v>
      </c>
      <c r="O26" s="28">
        <f>3761-N26</f>
        <v>2887</v>
      </c>
      <c r="P26" s="28" t="s">
        <v>113</v>
      </c>
      <c r="Q26" t="s">
        <v>210</v>
      </c>
      <c r="R26" t="s">
        <v>229</v>
      </c>
      <c r="S26">
        <f>N26+770</f>
        <v>1644</v>
      </c>
      <c r="T26" t="s">
        <v>236</v>
      </c>
    </row>
    <row r="27" spans="1:16" ht="12.75">
      <c r="A27" s="29">
        <v>930</v>
      </c>
      <c r="B27" s="30">
        <f>$B$4-A27</f>
        <v>2831</v>
      </c>
      <c r="C27" s="29">
        <v>930</v>
      </c>
      <c r="D27" s="5" t="s">
        <v>8</v>
      </c>
      <c r="G27" s="6" t="s">
        <v>4</v>
      </c>
      <c r="H27" s="6" t="s">
        <v>4</v>
      </c>
      <c r="I27" s="6" t="s">
        <v>4</v>
      </c>
      <c r="J27" s="6" t="s">
        <v>4</v>
      </c>
      <c r="K27" s="6" t="s">
        <v>4</v>
      </c>
      <c r="L27" s="5">
        <f>65+300</f>
        <v>365</v>
      </c>
      <c r="M27" s="5" t="s">
        <v>176</v>
      </c>
      <c r="N27" s="2" t="s">
        <v>4</v>
      </c>
      <c r="P27" s="3">
        <v>2831</v>
      </c>
    </row>
    <row r="28" spans="1:17" ht="12.75">
      <c r="A28" s="3">
        <f>130+912</f>
        <v>1042</v>
      </c>
      <c r="B28" s="5">
        <f>$B$4-A28</f>
        <v>2719</v>
      </c>
      <c r="C28" s="3" t="s">
        <v>10</v>
      </c>
      <c r="D28" s="5" t="s">
        <v>8</v>
      </c>
      <c r="G28" s="5">
        <f>130+912</f>
        <v>1042</v>
      </c>
      <c r="H28" s="5" t="s">
        <v>9</v>
      </c>
      <c r="I28" s="6" t="s">
        <v>4</v>
      </c>
      <c r="J28" s="6" t="s">
        <v>4</v>
      </c>
      <c r="K28" s="5" t="s">
        <v>168</v>
      </c>
      <c r="L28" s="5" t="s">
        <v>146</v>
      </c>
      <c r="M28" s="5" t="s">
        <v>9</v>
      </c>
      <c r="N28" s="2" t="s">
        <v>4</v>
      </c>
      <c r="P28">
        <v>2831</v>
      </c>
      <c r="Q28" s="4" t="s">
        <v>211</v>
      </c>
    </row>
    <row r="29" spans="1:18" ht="12.75">
      <c r="A29">
        <f>130+105+905</f>
        <v>1140</v>
      </c>
      <c r="B29" s="3">
        <f>$B$4-A29</f>
        <v>2621</v>
      </c>
      <c r="C29" s="3" t="s">
        <v>11</v>
      </c>
      <c r="D29" s="3"/>
      <c r="E29" s="4" t="s">
        <v>4</v>
      </c>
      <c r="F29" s="8" t="s">
        <v>4</v>
      </c>
      <c r="G29" s="7" t="s">
        <v>147</v>
      </c>
      <c r="H29" s="7">
        <v>905</v>
      </c>
      <c r="I29" s="8" t="s">
        <v>4</v>
      </c>
      <c r="J29" s="8" t="s">
        <v>4</v>
      </c>
      <c r="K29" s="7" t="s">
        <v>169</v>
      </c>
      <c r="L29" s="5">
        <v>987</v>
      </c>
      <c r="M29" s="5">
        <v>969</v>
      </c>
      <c r="N29" s="2" t="s">
        <v>4</v>
      </c>
      <c r="P29">
        <v>2774</v>
      </c>
      <c r="Q29" s="2" t="s">
        <v>212</v>
      </c>
      <c r="R29" s="2" t="s">
        <v>230</v>
      </c>
    </row>
    <row r="30" spans="2:16" ht="15">
      <c r="B30">
        <v>2719</v>
      </c>
      <c r="C30" t="s">
        <v>12</v>
      </c>
      <c r="E30" s="5">
        <f>130+912</f>
        <v>1042</v>
      </c>
      <c r="G30" s="5">
        <f>$B$8-912</f>
        <v>2719</v>
      </c>
      <c r="H30" s="5" t="s">
        <v>146</v>
      </c>
      <c r="I30" s="6" t="s">
        <v>4</v>
      </c>
      <c r="J30" s="6" t="s">
        <v>4</v>
      </c>
      <c r="K30" s="6" t="s">
        <v>4</v>
      </c>
      <c r="M30" s="5">
        <f>187+782</f>
        <v>969</v>
      </c>
      <c r="N30" t="s">
        <v>184</v>
      </c>
      <c r="O30" s="19" t="s">
        <v>193</v>
      </c>
      <c r="P30" s="3">
        <v>2719</v>
      </c>
    </row>
    <row r="31" spans="1:17" ht="12.75">
      <c r="A31" s="3">
        <v>1042</v>
      </c>
      <c r="B31" s="5">
        <f>$B$4-A31</f>
        <v>2719</v>
      </c>
      <c r="C31" s="3" t="s">
        <v>13</v>
      </c>
      <c r="D31" s="3"/>
      <c r="E31" s="3">
        <f>3761-1042</f>
        <v>2719</v>
      </c>
      <c r="F31" s="7">
        <f>3761-130-912</f>
        <v>2719</v>
      </c>
      <c r="G31" s="5" t="s">
        <v>10</v>
      </c>
      <c r="H31" s="5">
        <v>1140</v>
      </c>
      <c r="I31" s="6" t="s">
        <v>4</v>
      </c>
      <c r="J31" s="6" t="s">
        <v>4</v>
      </c>
      <c r="K31" s="6" t="s">
        <v>4</v>
      </c>
      <c r="M31" s="5" t="s">
        <v>177</v>
      </c>
      <c r="N31" s="6" t="s">
        <v>4</v>
      </c>
      <c r="O31" t="s">
        <v>6</v>
      </c>
      <c r="P31">
        <v>2719</v>
      </c>
      <c r="Q31" s="2" t="s">
        <v>213</v>
      </c>
    </row>
    <row r="32" spans="1:18" ht="12.75">
      <c r="A32">
        <f>130+105+90+70+65+162+65+187+182</f>
        <v>1056</v>
      </c>
      <c r="B32" s="5">
        <f>$B$4-A32</f>
        <v>2705</v>
      </c>
      <c r="C32" s="5" t="s">
        <v>14</v>
      </c>
      <c r="H32" s="5" t="s">
        <v>147</v>
      </c>
      <c r="I32" s="6" t="s">
        <v>4</v>
      </c>
      <c r="J32" s="6" t="s">
        <v>4</v>
      </c>
      <c r="K32" s="6" t="s">
        <v>4</v>
      </c>
      <c r="M32" s="5">
        <v>1656</v>
      </c>
      <c r="N32" s="6" t="s">
        <v>4</v>
      </c>
      <c r="O32">
        <f>130+105+90+70+65+162+65+187+182</f>
        <v>1056</v>
      </c>
      <c r="P32" s="28">
        <f>$B$4-O32</f>
        <v>2705</v>
      </c>
      <c r="Q32" s="28" t="s">
        <v>113</v>
      </c>
      <c r="R32" t="s">
        <v>14</v>
      </c>
    </row>
    <row r="33" spans="2:16" ht="12.75">
      <c r="B33" s="6" t="s">
        <v>4</v>
      </c>
      <c r="H33" s="5">
        <v>2621</v>
      </c>
      <c r="I33" s="6" t="s">
        <v>4</v>
      </c>
      <c r="J33" s="5" t="s">
        <v>9</v>
      </c>
      <c r="K33" s="6" t="s">
        <v>4</v>
      </c>
      <c r="M33" s="6" t="s">
        <v>4</v>
      </c>
      <c r="N33" s="6" t="s">
        <v>4</v>
      </c>
      <c r="O33" s="2" t="s">
        <v>4</v>
      </c>
      <c r="P33" s="3">
        <v>0</v>
      </c>
    </row>
    <row r="34" spans="1:17" ht="12.75">
      <c r="A34">
        <f>130+105+905</f>
        <v>1140</v>
      </c>
      <c r="B34" s="5">
        <f>$B$4-A34</f>
        <v>2621</v>
      </c>
      <c r="C34" s="3" t="s">
        <v>15</v>
      </c>
      <c r="D34" s="3"/>
      <c r="E34" s="4" t="s">
        <v>4</v>
      </c>
      <c r="F34" s="4" t="s">
        <v>4</v>
      </c>
      <c r="G34" s="8" t="s">
        <v>4</v>
      </c>
      <c r="H34" s="5" t="s">
        <v>10</v>
      </c>
      <c r="I34" s="5" t="s">
        <v>9</v>
      </c>
      <c r="J34" s="5">
        <f>65+830</f>
        <v>895</v>
      </c>
      <c r="K34" s="6" t="s">
        <v>4</v>
      </c>
      <c r="M34" s="6" t="s">
        <v>4</v>
      </c>
      <c r="N34" s="6" t="s">
        <v>4</v>
      </c>
      <c r="O34" s="2" t="s">
        <v>4</v>
      </c>
      <c r="P34" s="3">
        <v>2621</v>
      </c>
      <c r="Q34" t="s">
        <v>15</v>
      </c>
    </row>
    <row r="35" spans="2:17" ht="12.75">
      <c r="B35" s="6" t="s">
        <v>4</v>
      </c>
      <c r="I35" s="5" t="s">
        <v>156</v>
      </c>
      <c r="J35" s="5" t="s">
        <v>146</v>
      </c>
      <c r="K35" s="6" t="s">
        <v>4</v>
      </c>
      <c r="M35" s="6" t="s">
        <v>4</v>
      </c>
      <c r="N35" s="5" t="s">
        <v>185</v>
      </c>
      <c r="O35" s="2" t="s">
        <v>4</v>
      </c>
      <c r="P35">
        <v>0</v>
      </c>
      <c r="Q35" s="3" t="s">
        <v>214</v>
      </c>
    </row>
    <row r="36" spans="1:17" ht="12.75">
      <c r="A36">
        <f>130+105+90+70+895</f>
        <v>1290</v>
      </c>
      <c r="B36" s="5">
        <f>$B$4-A36</f>
        <v>2471</v>
      </c>
      <c r="C36" s="3" t="s">
        <v>16</v>
      </c>
      <c r="D36" s="3"/>
      <c r="E36" s="4" t="s">
        <v>4</v>
      </c>
      <c r="F36" s="4" t="s">
        <v>4</v>
      </c>
      <c r="G36" s="4" t="s">
        <v>4</v>
      </c>
      <c r="H36" s="8" t="s">
        <v>4</v>
      </c>
      <c r="I36" s="7" t="s">
        <v>157</v>
      </c>
      <c r="J36" s="5">
        <f>J14+895</f>
        <v>1290</v>
      </c>
      <c r="K36" s="5" t="s">
        <v>9</v>
      </c>
      <c r="M36" s="5">
        <f>3074-969</f>
        <v>2105</v>
      </c>
      <c r="N36" s="5" t="s">
        <v>186</v>
      </c>
      <c r="O36" s="2" t="s">
        <v>4</v>
      </c>
      <c r="P36" s="3">
        <v>2471</v>
      </c>
      <c r="Q36" s="3" t="s">
        <v>16</v>
      </c>
    </row>
    <row r="37" spans="1:17" ht="12.75">
      <c r="A37" s="18">
        <f>(130+105+90)+910</f>
        <v>1235</v>
      </c>
      <c r="B37" s="5">
        <f>$B$4-A37</f>
        <v>2526</v>
      </c>
      <c r="C37" s="3" t="s">
        <v>17</v>
      </c>
      <c r="D37" s="3"/>
      <c r="E37" s="4" t="s">
        <v>4</v>
      </c>
      <c r="F37" s="4" t="s">
        <v>4</v>
      </c>
      <c r="G37" s="4" t="s">
        <v>4</v>
      </c>
      <c r="H37" s="8" t="s">
        <v>4</v>
      </c>
      <c r="I37" s="5">
        <f>I11+910</f>
        <v>1235</v>
      </c>
      <c r="K37" s="5">
        <v>962</v>
      </c>
      <c r="M37" s="5" t="s">
        <v>178</v>
      </c>
      <c r="N37" s="5" t="s">
        <v>9</v>
      </c>
      <c r="O37" s="2" t="s">
        <v>4</v>
      </c>
      <c r="P37" s="3">
        <v>2456</v>
      </c>
      <c r="Q37" t="s">
        <v>17</v>
      </c>
    </row>
    <row r="38" spans="2:17" ht="12.75">
      <c r="B38" s="6" t="s">
        <v>4</v>
      </c>
      <c r="K38" s="5" t="s">
        <v>146</v>
      </c>
      <c r="M38" s="5" t="s">
        <v>179</v>
      </c>
      <c r="N38" s="5">
        <f>182+595</f>
        <v>777</v>
      </c>
      <c r="O38" s="2" t="s">
        <v>4</v>
      </c>
      <c r="P38">
        <v>0</v>
      </c>
      <c r="Q38" s="3" t="s">
        <v>215</v>
      </c>
    </row>
    <row r="39" spans="1:17" ht="12.75">
      <c r="A39" s="18">
        <f>130+105+90+70+65+962</f>
        <v>1422</v>
      </c>
      <c r="B39" s="5">
        <f>$B$4-A39</f>
        <v>2339</v>
      </c>
      <c r="C39" s="3" t="s">
        <v>18</v>
      </c>
      <c r="D39" s="3"/>
      <c r="E39" s="4" t="s">
        <v>4</v>
      </c>
      <c r="F39" s="4" t="s">
        <v>4</v>
      </c>
      <c r="G39" s="4" t="s">
        <v>4</v>
      </c>
      <c r="H39" s="4" t="s">
        <v>4</v>
      </c>
      <c r="I39" s="4" t="s">
        <v>4</v>
      </c>
      <c r="J39" s="8" t="s">
        <v>4</v>
      </c>
      <c r="K39" s="5">
        <f>K16+962</f>
        <v>1422</v>
      </c>
      <c r="M39" s="5" t="s">
        <v>180</v>
      </c>
      <c r="N39" s="6" t="s">
        <v>4</v>
      </c>
      <c r="O39" s="2" t="s">
        <v>4</v>
      </c>
      <c r="P39">
        <v>2339</v>
      </c>
      <c r="Q39" t="s">
        <v>216</v>
      </c>
    </row>
    <row r="40" spans="1:19" ht="12.75">
      <c r="A40" s="18">
        <f>130+105+90+70+65+162+65+187+182+500</f>
        <v>1556</v>
      </c>
      <c r="B40" s="5">
        <f>$B$4-A40</f>
        <v>2205</v>
      </c>
      <c r="C40" t="s">
        <v>19</v>
      </c>
      <c r="M40" s="5" t="s">
        <v>181</v>
      </c>
      <c r="N40" s="6" t="s">
        <v>4</v>
      </c>
      <c r="O40" t="s">
        <v>194</v>
      </c>
      <c r="P40">
        <v>2206</v>
      </c>
      <c r="Q40" s="2" t="s">
        <v>217</v>
      </c>
      <c r="R40" t="s">
        <v>231</v>
      </c>
      <c r="S40" s="2" t="s">
        <v>234</v>
      </c>
    </row>
    <row r="41" spans="2:19" ht="12.75">
      <c r="B41" s="6" t="s">
        <v>4</v>
      </c>
      <c r="M41" s="5" t="s">
        <v>182</v>
      </c>
      <c r="N41" s="6" t="s">
        <v>4</v>
      </c>
      <c r="O41" s="2" t="s">
        <v>195</v>
      </c>
      <c r="P41">
        <v>0</v>
      </c>
      <c r="Q41" s="18" t="s">
        <v>200</v>
      </c>
      <c r="R41" s="18" t="s">
        <v>228</v>
      </c>
      <c r="S41" s="18" t="s">
        <v>233</v>
      </c>
    </row>
    <row r="42" spans="1:19" ht="12.75">
      <c r="A42" s="18">
        <f>130+105+90+70+65+162+65+187+182+500</f>
        <v>1556</v>
      </c>
      <c r="B42" s="5">
        <f>$B$4-A42</f>
        <v>2205</v>
      </c>
      <c r="C42" s="5" t="s">
        <v>20</v>
      </c>
      <c r="M42" s="6" t="s">
        <v>4</v>
      </c>
      <c r="N42" s="6" t="s">
        <v>4</v>
      </c>
      <c r="O42">
        <f>O$32+500</f>
        <v>1556</v>
      </c>
      <c r="P42" s="5">
        <v>2205</v>
      </c>
      <c r="Q42" t="s">
        <v>6</v>
      </c>
      <c r="R42" t="s">
        <v>6</v>
      </c>
      <c r="S42" t="s">
        <v>6</v>
      </c>
    </row>
    <row r="43" spans="1:19" ht="12.75">
      <c r="A43" s="18">
        <f>(130+105+90+70+65+162+65+187)+770-67</f>
        <v>1577</v>
      </c>
      <c r="B43" s="5">
        <f>$B$4-A43</f>
        <v>2184</v>
      </c>
      <c r="C43" t="s">
        <v>21</v>
      </c>
      <c r="M43" s="6" t="s">
        <v>4</v>
      </c>
      <c r="N43" s="6" t="s">
        <v>4</v>
      </c>
      <c r="O43" s="2" t="s">
        <v>4</v>
      </c>
      <c r="P43" s="5">
        <v>2205</v>
      </c>
      <c r="Q43">
        <f>130+105+90+70+65+162+65+187+182+500</f>
        <v>1556</v>
      </c>
      <c r="R43">
        <f>130+105+90+70+65+162+65+187+182+500</f>
        <v>1556</v>
      </c>
      <c r="S43">
        <f>130+105+90+70+65+162+65+187+182+500</f>
        <v>1556</v>
      </c>
    </row>
    <row r="44" spans="1:19" ht="12.75">
      <c r="A44">
        <f>874+777</f>
        <v>1651</v>
      </c>
      <c r="B44" s="6" t="s">
        <v>4</v>
      </c>
      <c r="M44" s="6" t="s">
        <v>4</v>
      </c>
      <c r="N44" s="6" t="s">
        <v>4</v>
      </c>
      <c r="O44" s="2" t="s">
        <v>4</v>
      </c>
      <c r="P44" s="5">
        <v>0</v>
      </c>
      <c r="Q44" s="3" t="s">
        <v>218</v>
      </c>
      <c r="S44">
        <v>1212</v>
      </c>
    </row>
    <row r="45" spans="1:256" ht="12.75">
      <c r="A45" s="35">
        <f>(130+105+90+70+65+162+65+187)+770</f>
        <v>1644</v>
      </c>
      <c r="B45" s="22">
        <f>$B$4-A45</f>
        <v>2117</v>
      </c>
      <c r="C45" s="22" t="s">
        <v>22</v>
      </c>
      <c r="D45" s="22"/>
      <c r="E45" s="22"/>
      <c r="F45" s="22"/>
      <c r="G45" s="22"/>
      <c r="H45" s="33">
        <f>A46-40</f>
        <v>1616</v>
      </c>
      <c r="I45" s="22">
        <f>H45-A45</f>
        <v>-28</v>
      </c>
      <c r="J45" s="22" t="s">
        <v>164</v>
      </c>
      <c r="K45" s="22"/>
      <c r="L45" s="23"/>
      <c r="M45" s="23"/>
      <c r="N45" s="24">
        <f>N$26+182+595</f>
        <v>1651</v>
      </c>
      <c r="O45" s="25" t="s">
        <v>23</v>
      </c>
      <c r="P45" s="24">
        <v>2110</v>
      </c>
      <c r="Q45" s="25" t="s">
        <v>219</v>
      </c>
      <c r="R45" s="25"/>
      <c r="S45" s="25"/>
      <c r="T45" s="25"/>
      <c r="U45" s="25"/>
      <c r="V45" s="25"/>
      <c r="W45" s="26" t="s">
        <v>23</v>
      </c>
      <c r="X45" s="25" t="s">
        <v>252</v>
      </c>
      <c r="Y45" s="25"/>
      <c r="Z45" s="25"/>
      <c r="AA45" s="25"/>
      <c r="AB45" s="25"/>
      <c r="AC45" s="25"/>
      <c r="AD45" s="25"/>
      <c r="AE45" s="25"/>
      <c r="AF45" s="25"/>
      <c r="AG45" s="25" t="s">
        <v>23</v>
      </c>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row>
    <row r="46" spans="1:52" ht="12.75">
      <c r="A46" s="18">
        <f>130+105+90+70+65+162+65+187+182+600</f>
        <v>1656</v>
      </c>
      <c r="B46">
        <f>$B$4-A46</f>
        <v>2105</v>
      </c>
      <c r="C46" t="s">
        <v>23</v>
      </c>
      <c r="D46" s="2" t="s">
        <v>4</v>
      </c>
      <c r="F46" s="18">
        <f>(130+105+90+70+65+162+65+187+182+500+100)*360/365.24219</f>
        <v>1632.2320266451145</v>
      </c>
      <c r="G46" s="5">
        <f>$B$4-F46</f>
        <v>2128.7679733548903</v>
      </c>
      <c r="H46" t="s">
        <v>153</v>
      </c>
      <c r="L46" s="5"/>
      <c r="N46" s="6" t="s">
        <v>4</v>
      </c>
      <c r="O46">
        <f>O$32+600-1</f>
        <v>1655</v>
      </c>
      <c r="P46">
        <v>2106</v>
      </c>
      <c r="Q46" t="s">
        <v>220</v>
      </c>
      <c r="T46" s="2" t="s">
        <v>4</v>
      </c>
      <c r="U46" s="2" t="s">
        <v>4</v>
      </c>
      <c r="V46" t="s">
        <v>245</v>
      </c>
      <c r="W46">
        <f>$O$32+600-1</f>
        <v>1655</v>
      </c>
      <c r="X46" s="28">
        <f>$B$4-W46</f>
        <v>2106</v>
      </c>
      <c r="Y46" s="28" t="s">
        <v>113</v>
      </c>
      <c r="Z46" s="2" t="s">
        <v>4</v>
      </c>
      <c r="AA46" s="2" t="s">
        <v>4</v>
      </c>
      <c r="AB46" s="2" t="s">
        <v>4</v>
      </c>
      <c r="AC46" s="2" t="s">
        <v>4</v>
      </c>
      <c r="AD46" s="2" t="s">
        <v>4</v>
      </c>
      <c r="AE46" t="s">
        <v>245</v>
      </c>
      <c r="AF46" s="2" t="s">
        <v>4</v>
      </c>
      <c r="AG46">
        <f>$O$32+600-1</f>
        <v>1655</v>
      </c>
      <c r="AH46">
        <v>2106</v>
      </c>
      <c r="AI46" t="s">
        <v>113</v>
      </c>
      <c r="AJ46" s="2" t="s">
        <v>4</v>
      </c>
      <c r="AK46" s="2" t="s">
        <v>4</v>
      </c>
      <c r="AL46" s="2" t="s">
        <v>4</v>
      </c>
      <c r="AM46" s="2" t="s">
        <v>4</v>
      </c>
      <c r="AN46" s="2" t="s">
        <v>4</v>
      </c>
      <c r="AO46" s="2" t="s">
        <v>4</v>
      </c>
      <c r="AP46" s="2" t="s">
        <v>4</v>
      </c>
      <c r="AQ46" s="2" t="s">
        <v>4</v>
      </c>
      <c r="AR46" s="2" t="s">
        <v>4</v>
      </c>
      <c r="AS46" s="2" t="s">
        <v>4</v>
      </c>
      <c r="AT46" s="2" t="s">
        <v>4</v>
      </c>
      <c r="AU46" s="2" t="s">
        <v>4</v>
      </c>
      <c r="AV46" s="2" t="s">
        <v>4</v>
      </c>
      <c r="AW46" s="2" t="s">
        <v>4</v>
      </c>
      <c r="AX46" s="2" t="s">
        <v>4</v>
      </c>
      <c r="AY46" s="2" t="s">
        <v>4</v>
      </c>
      <c r="AZ46" s="4" t="s">
        <v>4</v>
      </c>
    </row>
    <row r="47" spans="1:18" ht="12.75">
      <c r="A47" s="18">
        <f>(130+105+90+70+65+162+65)+969</f>
        <v>1656</v>
      </c>
      <c r="B47" s="5">
        <f>$B$4-A47</f>
        <v>2105</v>
      </c>
      <c r="C47" s="3" t="s">
        <v>24</v>
      </c>
      <c r="D47" s="3" t="s">
        <v>84</v>
      </c>
      <c r="E47" s="3"/>
      <c r="F47" s="3"/>
      <c r="G47" s="3"/>
      <c r="H47" s="3"/>
      <c r="I47" s="3"/>
      <c r="J47" s="3"/>
      <c r="K47" s="3"/>
      <c r="L47" s="7"/>
      <c r="M47" s="5">
        <f>(130+105+90+70+65+162+65)+969</f>
        <v>1656</v>
      </c>
      <c r="O47">
        <v>1656</v>
      </c>
      <c r="P47" s="5">
        <v>2105</v>
      </c>
      <c r="Q47" t="s">
        <v>221</v>
      </c>
      <c r="R47" t="s">
        <v>232</v>
      </c>
    </row>
    <row r="48" spans="1:20" ht="12.75">
      <c r="A48">
        <v>1657</v>
      </c>
      <c r="B48" s="5">
        <f>$B$4-A48</f>
        <v>2104</v>
      </c>
      <c r="O48">
        <v>1657</v>
      </c>
      <c r="P48" s="9">
        <v>2104</v>
      </c>
      <c r="Q48" s="10" t="s">
        <v>222</v>
      </c>
      <c r="R48" s="10"/>
      <c r="S48" s="12"/>
      <c r="T48" s="18" t="s">
        <v>235</v>
      </c>
    </row>
    <row r="49" spans="1:20" ht="12.75">
      <c r="A49">
        <v>1657</v>
      </c>
      <c r="B49" s="5">
        <f>$B$4-A49</f>
        <v>2104</v>
      </c>
      <c r="O49" t="s">
        <v>196</v>
      </c>
      <c r="P49" s="5">
        <v>2104</v>
      </c>
      <c r="Q49" s="6" t="s">
        <v>223</v>
      </c>
      <c r="T49" t="s">
        <v>6</v>
      </c>
    </row>
    <row r="50" spans="1:22" ht="12.75">
      <c r="A50">
        <f>130+105+90+70+65+162+65+187+182+500+100+2</f>
        <v>1658</v>
      </c>
      <c r="B50" s="5">
        <f>$B$4-A50</f>
        <v>2103</v>
      </c>
      <c r="C50" s="5" t="s">
        <v>25</v>
      </c>
      <c r="O50">
        <v>1656</v>
      </c>
      <c r="P50" s="5">
        <v>2105</v>
      </c>
      <c r="Q50" s="6" t="s">
        <v>4</v>
      </c>
      <c r="T50">
        <f>130+105+90+70+65+162+65+187+182+500+100+2</f>
        <v>1658</v>
      </c>
      <c r="U50" s="28">
        <f>$B$4-T50</f>
        <v>2103</v>
      </c>
      <c r="V50" s="28" t="s">
        <v>113</v>
      </c>
    </row>
    <row r="51" spans="1:25" ht="12.75">
      <c r="A51">
        <v>1670</v>
      </c>
      <c r="B51" s="5">
        <f>$B$4-A51</f>
        <v>2091</v>
      </c>
      <c r="O51">
        <v>1670</v>
      </c>
      <c r="P51" s="5">
        <v>2091</v>
      </c>
      <c r="Q51" s="6" t="s">
        <v>4</v>
      </c>
      <c r="T51" t="s">
        <v>237</v>
      </c>
      <c r="U51" s="18" t="s">
        <v>241</v>
      </c>
      <c r="Y51" t="s">
        <v>257</v>
      </c>
    </row>
    <row r="52" spans="1:21" ht="12.75">
      <c r="A52">
        <v>1680</v>
      </c>
      <c r="B52" s="5">
        <f>$B$4-A52</f>
        <v>2081</v>
      </c>
      <c r="O52">
        <v>1680</v>
      </c>
      <c r="P52" s="5">
        <v>2081</v>
      </c>
      <c r="Q52" s="6" t="s">
        <v>4</v>
      </c>
      <c r="T52" s="6" t="s">
        <v>4</v>
      </c>
      <c r="U52" t="s">
        <v>6</v>
      </c>
    </row>
    <row r="53" spans="1:23" ht="12.75">
      <c r="A53">
        <f>130+105+90+70+65+162+65+187+182+500+100+35+30+34</f>
        <v>1755</v>
      </c>
      <c r="B53" s="5">
        <f>$B$4-A53</f>
        <v>2006</v>
      </c>
      <c r="C53" s="5" t="s">
        <v>26</v>
      </c>
      <c r="O53">
        <v>1690</v>
      </c>
      <c r="P53" s="5">
        <v>2071</v>
      </c>
      <c r="Q53" s="6" t="s">
        <v>4</v>
      </c>
      <c r="T53" s="6" t="s">
        <v>4</v>
      </c>
      <c r="U53">
        <f>130+105+90+70+65+162+65+187+182+500+100+35</f>
        <v>1691</v>
      </c>
      <c r="V53" s="28">
        <f>$B$4-U53</f>
        <v>2070</v>
      </c>
      <c r="W53" s="28" t="s">
        <v>113</v>
      </c>
    </row>
    <row r="54" spans="1:22" ht="12.75">
      <c r="A54">
        <v>1700</v>
      </c>
      <c r="B54" s="5">
        <f>$B$4-A54</f>
        <v>2061</v>
      </c>
      <c r="O54" t="s">
        <v>9</v>
      </c>
      <c r="P54" s="5">
        <v>2061</v>
      </c>
      <c r="Q54" s="6" t="s">
        <v>4</v>
      </c>
      <c r="T54" s="6" t="s">
        <v>4</v>
      </c>
      <c r="U54" t="s">
        <v>242</v>
      </c>
      <c r="V54" s="18" t="s">
        <v>244</v>
      </c>
    </row>
    <row r="55" spans="1:22" ht="12.75">
      <c r="A55">
        <v>1710</v>
      </c>
      <c r="B55" s="5">
        <f>$B$4-A55</f>
        <v>2051</v>
      </c>
      <c r="O55">
        <v>950</v>
      </c>
      <c r="P55" s="5">
        <v>2051</v>
      </c>
      <c r="Q55" s="6" t="s">
        <v>4</v>
      </c>
      <c r="T55" s="5" t="s">
        <v>238</v>
      </c>
      <c r="U55" s="6" t="s">
        <v>4</v>
      </c>
      <c r="V55" t="s">
        <v>6</v>
      </c>
    </row>
    <row r="56" spans="1:24" ht="12.75">
      <c r="A56">
        <f>130+105+90+70+65+162+65+187+182+500+100+35+30</f>
        <v>1721</v>
      </c>
      <c r="B56" s="5">
        <f>$B$4-A56</f>
        <v>2040</v>
      </c>
      <c r="C56" s="5" t="s">
        <v>27</v>
      </c>
      <c r="O56" t="s">
        <v>146</v>
      </c>
      <c r="P56" s="5">
        <v>2041</v>
      </c>
      <c r="Q56" s="5" t="s">
        <v>224</v>
      </c>
      <c r="T56" s="6" t="s">
        <v>239</v>
      </c>
      <c r="U56" s="5" t="s">
        <v>238</v>
      </c>
      <c r="V56">
        <f>130+105+90+70+65+162+65+187+182+500+100+35+30</f>
        <v>1721</v>
      </c>
      <c r="W56" s="28">
        <f>$B$4-V56</f>
        <v>2040</v>
      </c>
      <c r="X56" s="28" t="s">
        <v>113</v>
      </c>
    </row>
    <row r="57" spans="1:22" ht="12.75">
      <c r="A57">
        <v>1730</v>
      </c>
      <c r="B57" s="5">
        <f>$B$4-A57</f>
        <v>2031</v>
      </c>
      <c r="C57" s="2" t="s">
        <v>4</v>
      </c>
      <c r="E57" s="2" t="s">
        <v>4</v>
      </c>
      <c r="F57" s="2" t="s">
        <v>4</v>
      </c>
      <c r="G57" s="2" t="s">
        <v>4</v>
      </c>
      <c r="H57" s="2" t="s">
        <v>4</v>
      </c>
      <c r="I57" s="2" t="s">
        <v>4</v>
      </c>
      <c r="J57" s="2" t="s">
        <v>4</v>
      </c>
      <c r="K57" s="2" t="s">
        <v>4</v>
      </c>
      <c r="L57" s="2" t="s">
        <v>4</v>
      </c>
      <c r="M57" s="2" t="s">
        <v>4</v>
      </c>
      <c r="N57" s="6" t="s">
        <v>4</v>
      </c>
      <c r="O57">
        <f>O$32+950</f>
        <v>2006</v>
      </c>
      <c r="P57" s="5">
        <v>2031</v>
      </c>
      <c r="Q57" s="6" t="s">
        <v>225</v>
      </c>
      <c r="T57" s="5" t="s">
        <v>9</v>
      </c>
      <c r="U57" s="6" t="s">
        <v>239</v>
      </c>
      <c r="V57" t="s">
        <v>246</v>
      </c>
    </row>
    <row r="58" spans="1:23" ht="12.75">
      <c r="A58">
        <v>1740</v>
      </c>
      <c r="B58" s="5">
        <f>$B$4-A58</f>
        <v>2021</v>
      </c>
      <c r="O58" t="s">
        <v>197</v>
      </c>
      <c r="P58" s="5">
        <v>2021</v>
      </c>
      <c r="Q58" s="6" t="s">
        <v>4</v>
      </c>
      <c r="T58" s="5">
        <v>435</v>
      </c>
      <c r="U58" s="5" t="s">
        <v>9</v>
      </c>
      <c r="V58" t="s">
        <v>238</v>
      </c>
      <c r="W58" s="18" t="s">
        <v>249</v>
      </c>
    </row>
    <row r="59" spans="1:23" ht="12.75">
      <c r="A59">
        <v>1750</v>
      </c>
      <c r="B59" s="5">
        <f>$B$4-A59</f>
        <v>2011</v>
      </c>
      <c r="O59">
        <v>1750</v>
      </c>
      <c r="P59" s="5">
        <v>2011</v>
      </c>
      <c r="Q59" s="5" t="s">
        <v>9</v>
      </c>
      <c r="T59" s="5" t="s">
        <v>146</v>
      </c>
      <c r="U59" s="5">
        <v>430</v>
      </c>
      <c r="V59" s="6" t="s">
        <v>247</v>
      </c>
      <c r="W59" t="s">
        <v>6</v>
      </c>
    </row>
    <row r="60" spans="1:25" ht="12.75">
      <c r="A60">
        <f>130+105+90+70+65+162+65+187+182+500+100+35+30+34</f>
        <v>1755</v>
      </c>
      <c r="B60" s="5">
        <f>$B$4-A60</f>
        <v>2006</v>
      </c>
      <c r="C60" t="s">
        <v>28</v>
      </c>
      <c r="E60" s="2" t="s">
        <v>4</v>
      </c>
      <c r="F60" s="2" t="s">
        <v>4</v>
      </c>
      <c r="G60" s="2" t="s">
        <v>4</v>
      </c>
      <c r="H60" s="2" t="s">
        <v>4</v>
      </c>
      <c r="I60" s="2" t="s">
        <v>4</v>
      </c>
      <c r="J60" s="2" t="s">
        <v>4</v>
      </c>
      <c r="K60" s="2" t="s">
        <v>4</v>
      </c>
      <c r="L60" s="2" t="s">
        <v>4</v>
      </c>
      <c r="M60" s="2" t="s">
        <v>4</v>
      </c>
      <c r="N60" s="6" t="s">
        <v>4</v>
      </c>
      <c r="O60">
        <v>1760</v>
      </c>
      <c r="P60" s="5">
        <v>2001</v>
      </c>
      <c r="Q60">
        <v>600</v>
      </c>
      <c r="R60" s="2" t="s">
        <v>4</v>
      </c>
      <c r="S60" s="6" t="s">
        <v>4</v>
      </c>
      <c r="T60" s="5">
        <v>2091</v>
      </c>
      <c r="U60" s="5" t="s">
        <v>146</v>
      </c>
      <c r="V60" s="5" t="s">
        <v>9</v>
      </c>
      <c r="W60">
        <f>130+105+90+70+65+162+65+187+182+500+100+35+30+34</f>
        <v>1755</v>
      </c>
      <c r="X60" s="28">
        <f>$B$4-W60</f>
        <v>2006</v>
      </c>
      <c r="Y60" s="28" t="s">
        <v>113</v>
      </c>
    </row>
    <row r="61" spans="1:24" ht="12.75">
      <c r="A61">
        <v>1770</v>
      </c>
      <c r="B61" s="5">
        <f>$B$4-A61</f>
        <v>1991</v>
      </c>
      <c r="O61">
        <v>1770</v>
      </c>
      <c r="P61" s="5">
        <v>1991</v>
      </c>
      <c r="Q61" s="5" t="s">
        <v>146</v>
      </c>
      <c r="T61" s="6" t="s">
        <v>4</v>
      </c>
      <c r="U61" s="5">
        <v>2121</v>
      </c>
      <c r="V61" s="5">
        <v>434</v>
      </c>
      <c r="W61" t="s">
        <v>242</v>
      </c>
      <c r="X61" s="18" t="s">
        <v>251</v>
      </c>
    </row>
    <row r="62" spans="1:25" ht="12.75">
      <c r="A62">
        <v>1780</v>
      </c>
      <c r="B62" s="5">
        <f>$B$4-A62</f>
        <v>1981</v>
      </c>
      <c r="D62" s="2" t="s">
        <v>4</v>
      </c>
      <c r="E62" s="2" t="s">
        <v>4</v>
      </c>
      <c r="F62" s="2" t="s">
        <v>4</v>
      </c>
      <c r="G62" s="2" t="s">
        <v>4</v>
      </c>
      <c r="H62" s="2" t="s">
        <v>4</v>
      </c>
      <c r="I62" s="2" t="s">
        <v>4</v>
      </c>
      <c r="J62" s="2" t="s">
        <v>4</v>
      </c>
      <c r="K62" s="2" t="s">
        <v>4</v>
      </c>
      <c r="L62" s="2" t="s">
        <v>4</v>
      </c>
      <c r="M62" s="2" t="s">
        <v>4</v>
      </c>
      <c r="N62" s="6" t="s">
        <v>4</v>
      </c>
      <c r="O62">
        <v>1780</v>
      </c>
      <c r="P62" s="5">
        <v>1981</v>
      </c>
      <c r="Q62" s="5">
        <v>2156</v>
      </c>
      <c r="T62" s="6" t="s">
        <v>4</v>
      </c>
      <c r="U62" s="6" t="s">
        <v>4</v>
      </c>
      <c r="V62" s="5" t="s">
        <v>146</v>
      </c>
      <c r="W62" s="6" t="s">
        <v>4</v>
      </c>
      <c r="X62" t="s">
        <v>6</v>
      </c>
      <c r="Y62">
        <v>1780</v>
      </c>
    </row>
    <row r="63" spans="1:26" ht="12.75">
      <c r="A63">
        <f>130+105+90+70+65+162+65+187+182+500+100+35+30+34+30</f>
        <v>1785</v>
      </c>
      <c r="B63" s="5">
        <f>$B$4-A63</f>
        <v>1976</v>
      </c>
      <c r="C63" s="5" t="s">
        <v>29</v>
      </c>
      <c r="F63" s="18">
        <f>(130+105+90+70+65+162+65+187+182+500+100+35+30+34+30)*360/365.24219</f>
        <v>1759.3805359671073</v>
      </c>
      <c r="G63" s="5">
        <f>$B$4-F63</f>
        <v>2001.61946403289</v>
      </c>
      <c r="O63">
        <v>1790</v>
      </c>
      <c r="P63" s="5">
        <v>1971</v>
      </c>
      <c r="Q63" s="6" t="s">
        <v>4</v>
      </c>
      <c r="T63" s="6" t="s">
        <v>4</v>
      </c>
      <c r="U63" s="6" t="s">
        <v>4</v>
      </c>
      <c r="V63" s="5">
        <v>2155</v>
      </c>
      <c r="W63" s="6" t="s">
        <v>4</v>
      </c>
      <c r="X63">
        <f>130+105+90+70+65+162+65+187+182+500+100+35+30+34+30</f>
        <v>1785</v>
      </c>
      <c r="Y63" s="28">
        <f>$B$4-X63</f>
        <v>1976</v>
      </c>
      <c r="Z63" s="28" t="s">
        <v>113</v>
      </c>
    </row>
    <row r="64" spans="1:25" ht="12.75">
      <c r="A64">
        <v>1800</v>
      </c>
      <c r="B64" s="5">
        <f>$B$4-A64</f>
        <v>1961</v>
      </c>
      <c r="O64">
        <v>1800</v>
      </c>
      <c r="P64" s="5">
        <v>1961</v>
      </c>
      <c r="Q64" s="6" t="s">
        <v>4</v>
      </c>
      <c r="T64" s="6" t="s">
        <v>4</v>
      </c>
      <c r="U64" s="6" t="s">
        <v>4</v>
      </c>
      <c r="V64" s="6" t="s">
        <v>4</v>
      </c>
      <c r="W64" s="6" t="s">
        <v>4</v>
      </c>
      <c r="X64" t="s">
        <v>253</v>
      </c>
      <c r="Y64" s="18" t="s">
        <v>256</v>
      </c>
    </row>
    <row r="65" spans="1:27" ht="12.75">
      <c r="A65">
        <f>130+105+90+70+65+162+65+187+182+500+100+35+30+34+30+32</f>
        <v>1817</v>
      </c>
      <c r="B65" s="5">
        <f>$B$4-A65</f>
        <v>1944</v>
      </c>
      <c r="C65" t="s">
        <v>30</v>
      </c>
      <c r="O65">
        <v>1810</v>
      </c>
      <c r="P65" s="5">
        <v>1951</v>
      </c>
      <c r="Q65" s="6" t="s">
        <v>4</v>
      </c>
      <c r="T65" s="6" t="s">
        <v>4</v>
      </c>
      <c r="U65" s="6" t="s">
        <v>4</v>
      </c>
      <c r="V65" s="6" t="s">
        <v>4</v>
      </c>
      <c r="W65" s="6" t="s">
        <v>4</v>
      </c>
      <c r="X65" s="5" t="s">
        <v>238</v>
      </c>
      <c r="Y65" t="s">
        <v>6</v>
      </c>
      <c r="Z65" s="28">
        <f>$B$4-Y66</f>
        <v>1944</v>
      </c>
      <c r="AA65" s="28" t="s">
        <v>113</v>
      </c>
    </row>
    <row r="66" spans="1:26" ht="12.75">
      <c r="A66">
        <v>1820</v>
      </c>
      <c r="B66" s="5">
        <f>$B$4-A66</f>
        <v>1941</v>
      </c>
      <c r="O66">
        <v>1820</v>
      </c>
      <c r="P66" s="5">
        <v>1941</v>
      </c>
      <c r="Q66" s="6" t="s">
        <v>4</v>
      </c>
      <c r="T66" s="6" t="s">
        <v>4</v>
      </c>
      <c r="U66" s="6" t="s">
        <v>4</v>
      </c>
      <c r="V66" s="6" t="s">
        <v>4</v>
      </c>
      <c r="W66" s="6" t="s">
        <v>4</v>
      </c>
      <c r="X66" s="5" t="s">
        <v>254</v>
      </c>
      <c r="Y66">
        <f>130+105+90+70+65+162+65+187+182+500+100+35+30+34+30+32</f>
        <v>1817</v>
      </c>
      <c r="Z66" s="18" t="s">
        <v>260</v>
      </c>
    </row>
    <row r="67" spans="1:30" ht="12.75">
      <c r="A67">
        <v>1830</v>
      </c>
      <c r="B67" s="5">
        <f>$B$4-A67</f>
        <v>1931</v>
      </c>
      <c r="O67">
        <v>1830</v>
      </c>
      <c r="P67" s="5">
        <v>1931</v>
      </c>
      <c r="Q67" s="6" t="s">
        <v>4</v>
      </c>
      <c r="T67" s="6" t="s">
        <v>4</v>
      </c>
      <c r="U67" s="6" t="s">
        <v>4</v>
      </c>
      <c r="V67" s="6" t="s">
        <v>4</v>
      </c>
      <c r="W67" s="6" t="s">
        <v>4</v>
      </c>
      <c r="X67" s="6" t="s">
        <v>4</v>
      </c>
      <c r="Y67" s="5" t="s">
        <v>242</v>
      </c>
      <c r="Z67" s="5" t="s">
        <v>6</v>
      </c>
      <c r="AA67" s="2" t="s">
        <v>4</v>
      </c>
      <c r="AB67" s="2" t="s">
        <v>4</v>
      </c>
      <c r="AD67" s="2" t="s">
        <v>4</v>
      </c>
    </row>
    <row r="68" spans="1:30" ht="12.75">
      <c r="A68" s="18">
        <f>130+105+90+70+65+162+65+187+182+500+100+35+30+34+30+32+30+29</f>
        <v>1876</v>
      </c>
      <c r="B68" s="5">
        <f>$B$4-A68</f>
        <v>1885</v>
      </c>
      <c r="C68" s="5" t="s">
        <v>31</v>
      </c>
      <c r="F68" s="18">
        <f>(130+105+90+70+65+162+65+187+182+500+100+35+30+34+30+32+30)*360/365.24219</f>
        <v>1820.4906722303906</v>
      </c>
      <c r="G68" s="5">
        <f>$B$4-F68</f>
        <v>1940.50932776961</v>
      </c>
      <c r="O68">
        <v>1840</v>
      </c>
      <c r="P68" s="5">
        <v>1921</v>
      </c>
      <c r="Q68" s="6" t="s">
        <v>4</v>
      </c>
      <c r="T68" s="6" t="s">
        <v>4</v>
      </c>
      <c r="U68" s="6" t="s">
        <v>4</v>
      </c>
      <c r="V68" s="6" t="s">
        <v>4</v>
      </c>
      <c r="W68" s="6" t="s">
        <v>4</v>
      </c>
      <c r="X68" s="6" t="s">
        <v>4</v>
      </c>
      <c r="Y68" s="6" t="s">
        <v>4</v>
      </c>
      <c r="Z68">
        <f>130+105+90+70+65+162+65+187+182+500+100+35+30+34+30+32+30</f>
        <v>1847</v>
      </c>
      <c r="AA68" s="28">
        <f>$B$4-Z68</f>
        <v>1914</v>
      </c>
      <c r="AB68" s="28" t="s">
        <v>113</v>
      </c>
      <c r="AD68" s="2" t="s">
        <v>4</v>
      </c>
    </row>
    <row r="69" spans="1:29" ht="12.75">
      <c r="A69">
        <v>1850</v>
      </c>
      <c r="B69" s="5">
        <f>$B$4-A69</f>
        <v>1911</v>
      </c>
      <c r="O69">
        <v>1850</v>
      </c>
      <c r="P69" s="5">
        <v>1911</v>
      </c>
      <c r="Q69" s="6" t="s">
        <v>4</v>
      </c>
      <c r="T69" s="6" t="s">
        <v>4</v>
      </c>
      <c r="U69" s="6" t="s">
        <v>4</v>
      </c>
      <c r="V69" s="6" t="s">
        <v>4</v>
      </c>
      <c r="W69" s="5">
        <v>1994</v>
      </c>
      <c r="X69" s="6" t="s">
        <v>4</v>
      </c>
      <c r="Y69" s="6" t="s">
        <v>4</v>
      </c>
      <c r="Z69" t="s">
        <v>261</v>
      </c>
      <c r="AA69" s="18" t="s">
        <v>263</v>
      </c>
      <c r="AB69" s="2" t="s">
        <v>4</v>
      </c>
      <c r="AC69" s="2" t="s">
        <v>4</v>
      </c>
    </row>
    <row r="70" spans="1:30" ht="12.75">
      <c r="A70">
        <v>1860</v>
      </c>
      <c r="B70" s="5">
        <f>$B$4-A70</f>
        <v>1901</v>
      </c>
      <c r="O70">
        <v>1860</v>
      </c>
      <c r="P70" s="5">
        <v>1901</v>
      </c>
      <c r="Q70" s="6" t="s">
        <v>4</v>
      </c>
      <c r="T70" s="6" t="s">
        <v>4</v>
      </c>
      <c r="U70" s="6" t="s">
        <v>4</v>
      </c>
      <c r="V70" s="6" t="s">
        <v>4</v>
      </c>
      <c r="W70" s="6" t="s">
        <v>4</v>
      </c>
      <c r="X70" s="6" t="s">
        <v>4</v>
      </c>
      <c r="Y70" s="6" t="s">
        <v>4</v>
      </c>
      <c r="Z70" s="6" t="s">
        <v>4</v>
      </c>
      <c r="AA70" t="s">
        <v>6</v>
      </c>
      <c r="AB70" s="2" t="s">
        <v>4</v>
      </c>
      <c r="AC70" s="2" t="s">
        <v>4</v>
      </c>
      <c r="AD70" s="2" t="s">
        <v>4</v>
      </c>
    </row>
    <row r="71" spans="1:30" ht="12.75">
      <c r="A71" s="18">
        <f>130+105+90+70+65+162+65+187+182+500+100+35+30+34+30+32+30+29</f>
        <v>1876</v>
      </c>
      <c r="B71" s="5">
        <f>$B$4-A71</f>
        <v>1885</v>
      </c>
      <c r="C71" s="5" t="s">
        <v>32</v>
      </c>
      <c r="F71" s="18">
        <f>(130+105+90+70+65+162+65+187+182+500+100+35+30+34+30+32+30+29)*360/365.24219</f>
        <v>1849.0744456438617</v>
      </c>
      <c r="G71" s="5">
        <f>$B$4-F71</f>
        <v>1911.92555435614</v>
      </c>
      <c r="O71">
        <v>1870</v>
      </c>
      <c r="P71" s="5">
        <v>1891</v>
      </c>
      <c r="Q71" s="6" t="s">
        <v>4</v>
      </c>
      <c r="T71" s="6" t="s">
        <v>4</v>
      </c>
      <c r="U71" s="6" t="s">
        <v>4</v>
      </c>
      <c r="V71" s="6" t="s">
        <v>4</v>
      </c>
      <c r="W71" s="6" t="s">
        <v>4</v>
      </c>
      <c r="X71" s="6" t="s">
        <v>4</v>
      </c>
      <c r="Y71" s="6" t="s">
        <v>4</v>
      </c>
      <c r="Z71" s="6" t="s">
        <v>4</v>
      </c>
      <c r="AA71">
        <f>130+105+90+70+65+162+65+187+182+500+100+35+30+34+30+32+30+29</f>
        <v>1876</v>
      </c>
      <c r="AB71" s="28">
        <f>$B$4-AA71</f>
        <v>1885</v>
      </c>
      <c r="AC71" s="28" t="s">
        <v>113</v>
      </c>
      <c r="AD71" s="2" t="s">
        <v>4</v>
      </c>
    </row>
    <row r="72" spans="1:30" ht="12.75">
      <c r="A72">
        <v>1880</v>
      </c>
      <c r="B72" s="5">
        <f>$B$4-A72</f>
        <v>1881</v>
      </c>
      <c r="O72">
        <v>1880</v>
      </c>
      <c r="P72" s="5">
        <v>1881</v>
      </c>
      <c r="Q72" s="6" t="s">
        <v>4</v>
      </c>
      <c r="T72" s="6" t="s">
        <v>4</v>
      </c>
      <c r="U72" s="6" t="s">
        <v>4</v>
      </c>
      <c r="V72" s="6" t="s">
        <v>4</v>
      </c>
      <c r="W72" s="6" t="s">
        <v>4</v>
      </c>
      <c r="X72" s="6" t="s">
        <v>4</v>
      </c>
      <c r="Y72" s="6" t="s">
        <v>4</v>
      </c>
      <c r="Z72" s="6" t="s">
        <v>4</v>
      </c>
      <c r="AA72" s="2" t="s">
        <v>4</v>
      </c>
      <c r="AB72" s="2" t="s">
        <v>4</v>
      </c>
      <c r="AD72" s="2" t="s">
        <v>4</v>
      </c>
    </row>
    <row r="73" spans="1:28" ht="12.75">
      <c r="A73">
        <v>1890</v>
      </c>
      <c r="B73" s="5">
        <f>$B$4-A73</f>
        <v>1871</v>
      </c>
      <c r="O73">
        <v>1890</v>
      </c>
      <c r="P73" s="5">
        <v>1871</v>
      </c>
      <c r="Q73" s="6" t="s">
        <v>4</v>
      </c>
      <c r="T73" s="6" t="s">
        <v>4</v>
      </c>
      <c r="U73" s="6" t="s">
        <v>4</v>
      </c>
      <c r="V73" s="6" t="s">
        <v>4</v>
      </c>
      <c r="W73" s="6" t="s">
        <v>4</v>
      </c>
      <c r="X73" s="5">
        <v>2034</v>
      </c>
      <c r="Y73" s="6" t="s">
        <v>4</v>
      </c>
      <c r="Z73" s="6" t="s">
        <v>4</v>
      </c>
      <c r="AA73" s="2" t="s">
        <v>4</v>
      </c>
      <c r="AB73" s="2" t="s">
        <v>4</v>
      </c>
    </row>
    <row r="74" spans="1:28" ht="12.75">
      <c r="A74">
        <v>1900</v>
      </c>
      <c r="B74" s="5">
        <f>$B$4-A74</f>
        <v>1861</v>
      </c>
      <c r="O74">
        <v>1900</v>
      </c>
      <c r="P74" s="5">
        <v>1861</v>
      </c>
      <c r="Q74" s="5" t="s">
        <v>146</v>
      </c>
      <c r="T74" s="6" t="s">
        <v>4</v>
      </c>
      <c r="U74" s="6" t="s">
        <v>4</v>
      </c>
      <c r="V74" s="6" t="s">
        <v>4</v>
      </c>
      <c r="W74" s="6" t="s">
        <v>4</v>
      </c>
      <c r="X74" s="6" t="s">
        <v>4</v>
      </c>
      <c r="Y74" s="6" t="s">
        <v>4</v>
      </c>
      <c r="Z74" s="6" t="s">
        <v>4</v>
      </c>
      <c r="AA74" s="2" t="s">
        <v>4</v>
      </c>
      <c r="AB74" s="2" t="s">
        <v>4</v>
      </c>
    </row>
    <row r="75" spans="1:29" ht="12.75">
      <c r="A75">
        <v>1910</v>
      </c>
      <c r="B75" s="5">
        <f>$B$4-A75</f>
        <v>1851</v>
      </c>
      <c r="C75" s="6" t="s">
        <v>4</v>
      </c>
      <c r="O75">
        <v>1910</v>
      </c>
      <c r="P75" s="5">
        <v>1851</v>
      </c>
      <c r="Q75" s="5">
        <v>2156</v>
      </c>
      <c r="T75" s="6" t="s">
        <v>4</v>
      </c>
      <c r="U75" s="6" t="s">
        <v>4</v>
      </c>
      <c r="V75" s="6" t="s">
        <v>4</v>
      </c>
      <c r="W75" s="6" t="s">
        <v>4</v>
      </c>
      <c r="X75" s="6" t="s">
        <v>4</v>
      </c>
      <c r="Y75" s="5">
        <v>2049</v>
      </c>
      <c r="Z75" s="6" t="s">
        <v>4</v>
      </c>
      <c r="AA75" s="2" t="s">
        <v>4</v>
      </c>
      <c r="AB75" s="2" t="s">
        <v>4</v>
      </c>
      <c r="AC75" s="28" t="s">
        <v>281</v>
      </c>
    </row>
    <row r="76" spans="1:30" ht="12.75">
      <c r="A76">
        <v>1920</v>
      </c>
      <c r="B76" s="5">
        <f>$B$4-A76</f>
        <v>1841</v>
      </c>
      <c r="O76">
        <v>1920</v>
      </c>
      <c r="P76" s="5">
        <v>1841</v>
      </c>
      <c r="Q76" s="6" t="s">
        <v>4</v>
      </c>
      <c r="T76" s="5" t="s">
        <v>146</v>
      </c>
      <c r="U76" s="6" t="s">
        <v>4</v>
      </c>
      <c r="V76" s="6" t="s">
        <v>4</v>
      </c>
      <c r="W76" s="6" t="s">
        <v>4</v>
      </c>
      <c r="X76" s="6" t="s">
        <v>4</v>
      </c>
      <c r="Y76" s="6" t="s">
        <v>4</v>
      </c>
      <c r="Z76" s="6" t="s">
        <v>4</v>
      </c>
      <c r="AA76" t="s">
        <v>155</v>
      </c>
      <c r="AB76" s="18" t="s">
        <v>266</v>
      </c>
      <c r="AC76" s="18" t="s">
        <v>260</v>
      </c>
      <c r="AD76" s="18" t="s">
        <v>296</v>
      </c>
    </row>
    <row r="77" spans="1:30" ht="12.75">
      <c r="A77">
        <v>1930</v>
      </c>
      <c r="B77" s="5">
        <f>$B$4-A77</f>
        <v>1831</v>
      </c>
      <c r="O77">
        <v>1930</v>
      </c>
      <c r="P77" s="5">
        <v>1831</v>
      </c>
      <c r="Q77" s="6" t="s">
        <v>4</v>
      </c>
      <c r="T77" s="5">
        <v>2091</v>
      </c>
      <c r="U77" s="5" t="s">
        <v>146</v>
      </c>
      <c r="V77" s="6" t="s">
        <v>4</v>
      </c>
      <c r="W77" s="6" t="s">
        <v>4</v>
      </c>
      <c r="X77" s="6" t="s">
        <v>4</v>
      </c>
      <c r="Y77" s="6" t="s">
        <v>4</v>
      </c>
      <c r="Z77" s="6" t="s">
        <v>4</v>
      </c>
      <c r="AA77" s="5" t="s">
        <v>238</v>
      </c>
      <c r="AB77" t="s">
        <v>6</v>
      </c>
      <c r="AD77" t="s">
        <v>297</v>
      </c>
    </row>
    <row r="78" spans="1:30" ht="12.75">
      <c r="A78" s="18">
        <f>130+105+90+70+65+162+65+187+182+500+100+35+30+34+30+32+30+29+70</f>
        <v>1946</v>
      </c>
      <c r="B78" s="5">
        <f>$B$4-A78</f>
        <v>1815</v>
      </c>
      <c r="C78" s="5" t="s">
        <v>33</v>
      </c>
      <c r="F78" s="18">
        <f>(130+105+90+70+65+162+65+187+182+500+100+35+30+34+30+32+30+29+70)*360/365.24219</f>
        <v>1918.0697607798268</v>
      </c>
      <c r="G78" s="5">
        <f>$B$4-F78</f>
        <v>1842.93023922017</v>
      </c>
      <c r="O78">
        <v>1940</v>
      </c>
      <c r="P78" s="5">
        <v>1821</v>
      </c>
      <c r="Q78" s="6" t="s">
        <v>4</v>
      </c>
      <c r="T78" s="6" t="s">
        <v>4</v>
      </c>
      <c r="U78" s="5">
        <v>2121</v>
      </c>
      <c r="V78" s="5" t="s">
        <v>146</v>
      </c>
      <c r="W78" s="5" t="s">
        <v>238</v>
      </c>
      <c r="X78" s="6" t="s">
        <v>4</v>
      </c>
      <c r="Y78" s="6" t="s">
        <v>4</v>
      </c>
      <c r="Z78" s="6" t="s">
        <v>4</v>
      </c>
      <c r="AA78" s="6" t="s">
        <v>264</v>
      </c>
      <c r="AB78">
        <f>130+105+90+70+65+162+65+187+182+500+100+35+30+34+30+32+30+29+70</f>
        <v>1946</v>
      </c>
      <c r="AC78" s="28">
        <f>$B$4-AB78</f>
        <v>1815</v>
      </c>
      <c r="AD78" s="28" t="s">
        <v>113</v>
      </c>
    </row>
    <row r="79" spans="1:29" ht="12.75">
      <c r="A79">
        <v>1950</v>
      </c>
      <c r="B79" s="5">
        <f>$B$4-A79</f>
        <v>1811</v>
      </c>
      <c r="O79">
        <v>1950</v>
      </c>
      <c r="P79" s="5">
        <v>1811</v>
      </c>
      <c r="Q79" s="6" t="s">
        <v>4</v>
      </c>
      <c r="T79" s="6" t="s">
        <v>4</v>
      </c>
      <c r="U79" s="6" t="s">
        <v>4</v>
      </c>
      <c r="V79" s="5">
        <v>2155</v>
      </c>
      <c r="W79" s="6" t="s">
        <v>250</v>
      </c>
      <c r="X79" s="6" t="s">
        <v>4</v>
      </c>
      <c r="Y79" s="6" t="s">
        <v>4</v>
      </c>
      <c r="Z79" s="5" t="s">
        <v>238</v>
      </c>
      <c r="AA79" s="6" t="s">
        <v>4</v>
      </c>
      <c r="AB79" s="34">
        <f>1270+645+75</f>
        <v>1990</v>
      </c>
      <c r="AC79" s="34" t="s">
        <v>282</v>
      </c>
    </row>
    <row r="80" spans="1:28" ht="12.75">
      <c r="A80">
        <v>1960</v>
      </c>
      <c r="B80" s="5">
        <f>$B$4-A80</f>
        <v>1801</v>
      </c>
      <c r="O80">
        <v>1960</v>
      </c>
      <c r="P80" s="5">
        <v>1801</v>
      </c>
      <c r="Q80" s="6" t="s">
        <v>4</v>
      </c>
      <c r="T80" s="6" t="s">
        <v>4</v>
      </c>
      <c r="U80" s="6" t="s">
        <v>4</v>
      </c>
      <c r="V80" s="6" t="s">
        <v>4</v>
      </c>
      <c r="W80" s="5" t="s">
        <v>9</v>
      </c>
      <c r="X80" s="6" t="s">
        <v>4</v>
      </c>
      <c r="Y80" s="6" t="s">
        <v>4</v>
      </c>
      <c r="Z80" s="6" t="s">
        <v>262</v>
      </c>
      <c r="AA80" s="6" t="s">
        <v>4</v>
      </c>
      <c r="AB80" s="2" t="s">
        <v>4</v>
      </c>
    </row>
    <row r="81" spans="1:30" ht="12.75">
      <c r="A81">
        <v>1970</v>
      </c>
      <c r="B81" s="5">
        <f>$B$4-A81</f>
        <v>1791</v>
      </c>
      <c r="C81" t="s">
        <v>34</v>
      </c>
      <c r="O81">
        <v>1970</v>
      </c>
      <c r="P81" s="5">
        <v>1791</v>
      </c>
      <c r="Q81" s="6" t="s">
        <v>4</v>
      </c>
      <c r="T81" s="6" t="s">
        <v>4</v>
      </c>
      <c r="U81" s="6" t="s">
        <v>4</v>
      </c>
      <c r="V81" s="6" t="s">
        <v>4</v>
      </c>
      <c r="W81" s="5">
        <v>239</v>
      </c>
      <c r="X81" s="6" t="s">
        <v>4</v>
      </c>
      <c r="Y81" s="6" t="s">
        <v>4</v>
      </c>
      <c r="Z81" s="5" t="s">
        <v>9</v>
      </c>
      <c r="AA81" s="6" t="s">
        <v>4</v>
      </c>
      <c r="AB81" s="2" t="s">
        <v>4</v>
      </c>
      <c r="AD81" s="39" t="s">
        <v>298</v>
      </c>
    </row>
    <row r="82" spans="1:31" ht="12.75">
      <c r="A82">
        <v>1990</v>
      </c>
      <c r="B82" s="5">
        <f>$B$4-A82</f>
        <v>1771</v>
      </c>
      <c r="C82" t="s">
        <v>35</v>
      </c>
      <c r="O82">
        <v>1980</v>
      </c>
      <c r="P82" s="5">
        <v>1781</v>
      </c>
      <c r="Q82" s="6" t="s">
        <v>4</v>
      </c>
      <c r="T82" s="6" t="s">
        <v>4</v>
      </c>
      <c r="U82" s="6" t="s">
        <v>4</v>
      </c>
      <c r="V82" s="6" t="s">
        <v>4</v>
      </c>
      <c r="W82" s="5" t="s">
        <v>146</v>
      </c>
      <c r="X82" s="5" t="s">
        <v>238</v>
      </c>
      <c r="Y82" s="6" t="s">
        <v>4</v>
      </c>
      <c r="Z82" s="5">
        <f>32+119</f>
        <v>151</v>
      </c>
      <c r="AA82" s="14" t="s">
        <v>4</v>
      </c>
      <c r="AB82" t="s">
        <v>267</v>
      </c>
      <c r="AD82" s="39" t="s">
        <v>263</v>
      </c>
      <c r="AE82" s="28" t="s">
        <v>307</v>
      </c>
    </row>
    <row r="83" spans="1:32" ht="12.75">
      <c r="A83" s="18">
        <f>130+105+90+70+65+162+65+187+182+500+100+35+30+34+30+32+30+29+70+75</f>
        <v>2021</v>
      </c>
      <c r="B83" s="5">
        <f>$B$4-A83</f>
        <v>1740</v>
      </c>
      <c r="C83" s="5" t="s">
        <v>36</v>
      </c>
      <c r="O83" t="s">
        <v>193</v>
      </c>
      <c r="P83" s="5">
        <v>1771</v>
      </c>
      <c r="Q83" s="6" t="s">
        <v>4</v>
      </c>
      <c r="T83" s="6" t="s">
        <v>4</v>
      </c>
      <c r="U83" s="6" t="s">
        <v>4</v>
      </c>
      <c r="V83" s="8" t="s">
        <v>4</v>
      </c>
      <c r="W83" s="5">
        <v>1994</v>
      </c>
      <c r="X83" s="6" t="s">
        <v>255</v>
      </c>
      <c r="Y83" s="6" t="s">
        <v>4</v>
      </c>
      <c r="Z83" s="5" t="s">
        <v>146</v>
      </c>
      <c r="AA83" s="6" t="s">
        <v>4</v>
      </c>
      <c r="AB83" s="10" t="s">
        <v>268</v>
      </c>
      <c r="AC83" s="11" t="s">
        <v>4</v>
      </c>
      <c r="AD83" s="40" t="s">
        <v>299</v>
      </c>
      <c r="AE83" t="s">
        <v>308</v>
      </c>
      <c r="AF83" t="s">
        <v>323</v>
      </c>
    </row>
    <row r="84" spans="1:52" ht="12.75">
      <c r="A84" s="18">
        <f>130+105+90+70+65+162+65+187+182+500+100+35+30+34+30+32+30+29+151</f>
        <v>2027</v>
      </c>
      <c r="B84" s="5">
        <f>$B$4-A84</f>
        <v>1734</v>
      </c>
      <c r="C84" t="s">
        <v>37</v>
      </c>
      <c r="O84" t="s">
        <v>146</v>
      </c>
      <c r="P84" s="7">
        <v>1761</v>
      </c>
      <c r="Q84" s="4" t="s">
        <v>226</v>
      </c>
      <c r="R84" s="4" t="s">
        <v>4</v>
      </c>
      <c r="S84" s="8" t="s">
        <v>4</v>
      </c>
      <c r="T84" s="8" t="s">
        <v>4</v>
      </c>
      <c r="U84" s="8" t="s">
        <v>4</v>
      </c>
      <c r="V84" s="4" t="s">
        <v>4</v>
      </c>
      <c r="W84" s="6" t="s">
        <v>4</v>
      </c>
      <c r="X84" s="5" t="s">
        <v>9</v>
      </c>
      <c r="Y84" s="7" t="s">
        <v>238</v>
      </c>
      <c r="Z84">
        <f>(130+105+90+70+65+162+65+187+182+500+100+35+30+34+30+32+30)+Z82</f>
        <v>1998</v>
      </c>
      <c r="AA84" s="8" t="s">
        <v>4</v>
      </c>
      <c r="AB84" s="3" t="s">
        <v>269</v>
      </c>
      <c r="AC84" s="4" t="s">
        <v>4</v>
      </c>
      <c r="AD84" s="41" t="s">
        <v>300</v>
      </c>
      <c r="AE84" s="3" t="s">
        <v>309</v>
      </c>
      <c r="AF84" s="3"/>
      <c r="AG84" s="3"/>
      <c r="AH84" s="4" t="s">
        <v>4</v>
      </c>
      <c r="AI84" s="4" t="s">
        <v>4</v>
      </c>
      <c r="AJ84" s="4" t="s">
        <v>4</v>
      </c>
      <c r="AK84" s="4" t="s">
        <v>4</v>
      </c>
      <c r="AL84" s="4" t="s">
        <v>4</v>
      </c>
      <c r="AM84" s="4" t="s">
        <v>4</v>
      </c>
      <c r="AN84" s="4" t="s">
        <v>4</v>
      </c>
      <c r="AO84" s="4" t="s">
        <v>4</v>
      </c>
      <c r="AP84" s="4" t="s">
        <v>4</v>
      </c>
      <c r="AQ84" s="4" t="s">
        <v>4</v>
      </c>
      <c r="AR84" s="4" t="s">
        <v>4</v>
      </c>
      <c r="AS84" s="4" t="s">
        <v>4</v>
      </c>
      <c r="AT84" s="4" t="s">
        <v>4</v>
      </c>
      <c r="AU84" s="4" t="s">
        <v>4</v>
      </c>
      <c r="AV84" s="4" t="s">
        <v>4</v>
      </c>
      <c r="AW84" s="4" t="s">
        <v>4</v>
      </c>
      <c r="AX84" s="4" t="s">
        <v>4</v>
      </c>
      <c r="AY84" s="4" t="s">
        <v>4</v>
      </c>
      <c r="AZ84" s="2" t="s">
        <v>4</v>
      </c>
    </row>
    <row r="85" spans="1:31" ht="12.75">
      <c r="A85" s="18">
        <f>130+105+90+70+65+162+65+187+182+500+100+35+30+34+30+32+30+29+70+86</f>
        <v>2032</v>
      </c>
      <c r="B85" s="5">
        <f>$B$4-A85</f>
        <v>1729</v>
      </c>
      <c r="C85" t="s">
        <v>38</v>
      </c>
      <c r="O85">
        <v>2006</v>
      </c>
      <c r="P85" s="5">
        <v>1751</v>
      </c>
      <c r="Q85" s="6" t="s">
        <v>4</v>
      </c>
      <c r="T85" s="6" t="s">
        <v>4</v>
      </c>
      <c r="U85" s="6" t="s">
        <v>4</v>
      </c>
      <c r="V85" s="6" t="s">
        <v>4</v>
      </c>
      <c r="X85" s="5">
        <f>32+217</f>
        <v>249</v>
      </c>
      <c r="Y85" s="6" t="s">
        <v>258</v>
      </c>
      <c r="AA85" s="6" t="s">
        <v>4</v>
      </c>
      <c r="AB85" t="s">
        <v>270</v>
      </c>
      <c r="AE85" s="18" t="s">
        <v>306</v>
      </c>
    </row>
    <row r="86" spans="1:33" ht="12.75">
      <c r="A86">
        <f>130+105+90+70+65+162+65+187+182+500+100+35+30+34+30+249</f>
        <v>2034</v>
      </c>
      <c r="B86" s="5">
        <f>$B$4-A86</f>
        <v>1727</v>
      </c>
      <c r="C86" t="s">
        <v>39</v>
      </c>
      <c r="N86" t="s">
        <v>187</v>
      </c>
      <c r="O86">
        <v>2020</v>
      </c>
      <c r="P86" s="5">
        <v>1741</v>
      </c>
      <c r="Q86" s="6" t="s">
        <v>4</v>
      </c>
      <c r="T86" s="6" t="s">
        <v>4</v>
      </c>
      <c r="U86" s="6" t="s">
        <v>4</v>
      </c>
      <c r="V86" s="6" t="s">
        <v>4</v>
      </c>
      <c r="X86" s="5" t="s">
        <v>254</v>
      </c>
      <c r="Y86" s="5" t="s">
        <v>9</v>
      </c>
      <c r="AA86" s="6" t="s">
        <v>4</v>
      </c>
      <c r="AB86" s="2" t="s">
        <v>271</v>
      </c>
      <c r="AC86" s="2" t="s">
        <v>4</v>
      </c>
      <c r="AD86" s="2" t="s">
        <v>4</v>
      </c>
      <c r="AE86" t="s">
        <v>6</v>
      </c>
      <c r="AF86" s="18" t="s">
        <v>322</v>
      </c>
      <c r="AG86" t="s">
        <v>324</v>
      </c>
    </row>
    <row r="87" spans="1:33" ht="12.75">
      <c r="A87" s="18">
        <f>130+105+90+70+65+162+65+187+182+500+100+35+30+34+30+32+30+29+70+100</f>
        <v>2046</v>
      </c>
      <c r="B87" s="5">
        <f>$B$4-A87</f>
        <v>1715</v>
      </c>
      <c r="C87" t="s">
        <v>40</v>
      </c>
      <c r="N87" t="s">
        <v>188</v>
      </c>
      <c r="O87">
        <v>2030</v>
      </c>
      <c r="P87" s="5">
        <v>1731</v>
      </c>
      <c r="Q87" s="6" t="s">
        <v>4</v>
      </c>
      <c r="T87" s="6" t="s">
        <v>4</v>
      </c>
      <c r="U87" s="6" t="s">
        <v>4</v>
      </c>
      <c r="V87" s="8" t="s">
        <v>4</v>
      </c>
      <c r="X87" s="5">
        <v>2034</v>
      </c>
      <c r="Y87" s="5">
        <f>32+200</f>
        <v>232</v>
      </c>
      <c r="AA87" s="6" t="s">
        <v>4</v>
      </c>
      <c r="AB87" s="5" t="s">
        <v>272</v>
      </c>
      <c r="AE87">
        <f>130+105+90+70+65+162+65+187+182+500+100+35+30+34+30+32+30+29+70+86</f>
        <v>2032</v>
      </c>
      <c r="AF87" s="28">
        <f>$B$4-AE87</f>
        <v>1729</v>
      </c>
      <c r="AG87" s="28" t="s">
        <v>113</v>
      </c>
    </row>
    <row r="88" spans="1:34" ht="12.75">
      <c r="A88">
        <f>130+105+90+70+65+162+65+187+182+500+100+35+30+34+30+32+232</f>
        <v>2049</v>
      </c>
      <c r="B88" s="5">
        <f>$B$4-A88</f>
        <v>1712</v>
      </c>
      <c r="C88" t="s">
        <v>41</v>
      </c>
      <c r="N88" t="s">
        <v>189</v>
      </c>
      <c r="O88">
        <v>2040</v>
      </c>
      <c r="P88" s="5">
        <v>1721</v>
      </c>
      <c r="Q88" s="6" t="s">
        <v>4</v>
      </c>
      <c r="T88" s="6" t="s">
        <v>4</v>
      </c>
      <c r="U88" s="6" t="s">
        <v>4</v>
      </c>
      <c r="V88" s="6" t="s">
        <v>4</v>
      </c>
      <c r="Y88" s="5" t="s">
        <v>259</v>
      </c>
      <c r="AA88" s="6" t="s">
        <v>4</v>
      </c>
      <c r="AB88" t="s">
        <v>273</v>
      </c>
      <c r="AD88" s="2" t="s">
        <v>4</v>
      </c>
      <c r="AE88" s="6" t="s">
        <v>4</v>
      </c>
      <c r="AF88">
        <f>130+105+90+70+65+162+65+187+182+500+100+35+30+34+30+32+30+29+70+100</f>
        <v>2046</v>
      </c>
      <c r="AG88" s="28">
        <f>$B$4-AF88</f>
        <v>1715</v>
      </c>
      <c r="AH88" s="28" t="s">
        <v>113</v>
      </c>
    </row>
    <row r="89" spans="1:31" ht="12.75">
      <c r="A89">
        <v>2060</v>
      </c>
      <c r="B89" s="5">
        <f>$B$4-A89</f>
        <v>1701</v>
      </c>
      <c r="N89" t="s">
        <v>190</v>
      </c>
      <c r="O89">
        <v>2050</v>
      </c>
      <c r="P89" s="5">
        <v>1711</v>
      </c>
      <c r="Q89" s="6" t="s">
        <v>4</v>
      </c>
      <c r="T89" s="6" t="s">
        <v>4</v>
      </c>
      <c r="U89" s="6" t="s">
        <v>4</v>
      </c>
      <c r="V89" s="8" t="s">
        <v>4</v>
      </c>
      <c r="Y89" s="5">
        <v>2049</v>
      </c>
      <c r="Z89">
        <f>3761-Y89</f>
        <v>1712</v>
      </c>
      <c r="AA89" s="5" t="s">
        <v>9</v>
      </c>
      <c r="AB89" s="2" t="s">
        <v>4</v>
      </c>
      <c r="AC89" t="s">
        <v>283</v>
      </c>
      <c r="AE89" t="s">
        <v>310</v>
      </c>
    </row>
    <row r="90" spans="1:33" ht="12.75">
      <c r="A90">
        <v>2070</v>
      </c>
      <c r="B90" s="5">
        <f>$B$4-A90</f>
        <v>1691</v>
      </c>
      <c r="N90" t="s">
        <v>191</v>
      </c>
      <c r="O90">
        <v>2060</v>
      </c>
      <c r="P90" s="5">
        <v>1701</v>
      </c>
      <c r="Q90" s="6" t="s">
        <v>4</v>
      </c>
      <c r="T90" s="6" t="s">
        <v>4</v>
      </c>
      <c r="U90" s="6" t="s">
        <v>4</v>
      </c>
      <c r="V90" s="6" t="s">
        <v>4</v>
      </c>
      <c r="AA90" s="5">
        <f>70+135</f>
        <v>205</v>
      </c>
      <c r="AB90" s="44" t="s">
        <v>274</v>
      </c>
      <c r="AC90" t="s">
        <v>284</v>
      </c>
      <c r="AE90" t="s">
        <v>311</v>
      </c>
      <c r="AG90" t="s">
        <v>325</v>
      </c>
    </row>
    <row r="91" spans="1:36" ht="12.75">
      <c r="A91">
        <v>2080</v>
      </c>
      <c r="B91" s="5">
        <f>$B$4-A91</f>
        <v>1681</v>
      </c>
      <c r="C91" t="s">
        <v>42</v>
      </c>
      <c r="O91">
        <v>2070</v>
      </c>
      <c r="P91" s="5">
        <v>1691</v>
      </c>
      <c r="Q91" s="6" t="s">
        <v>4</v>
      </c>
      <c r="T91" s="6" t="s">
        <v>4</v>
      </c>
      <c r="U91" s="6" t="s">
        <v>4</v>
      </c>
      <c r="V91" s="6" t="s">
        <v>4</v>
      </c>
      <c r="AA91" s="5" t="s">
        <v>146</v>
      </c>
      <c r="AB91" s="45">
        <f>AB78+10+127</f>
        <v>2083</v>
      </c>
      <c r="AC91" t="s">
        <v>285</v>
      </c>
      <c r="AE91" t="s">
        <v>312</v>
      </c>
      <c r="AG91" s="47" t="s">
        <v>326</v>
      </c>
      <c r="AH91" s="47" t="s">
        <v>52</v>
      </c>
      <c r="AI91" s="48"/>
      <c r="AJ91" t="s">
        <v>165</v>
      </c>
    </row>
    <row r="92" spans="1:35" ht="12.75">
      <c r="A92" s="18">
        <f>130+105+90+70+65+162+65+187+182+500+100+35+30+34+30+32+30+29+70+100+40</f>
        <v>2086</v>
      </c>
      <c r="B92" s="5">
        <f>$B$4-A92</f>
        <v>1675</v>
      </c>
      <c r="C92" t="s">
        <v>43</v>
      </c>
      <c r="O92">
        <v>2080</v>
      </c>
      <c r="P92" s="5">
        <v>1681</v>
      </c>
      <c r="Q92" s="6" t="s">
        <v>4</v>
      </c>
      <c r="T92" s="5" t="s">
        <v>240</v>
      </c>
      <c r="U92" s="6" t="s">
        <v>4</v>
      </c>
      <c r="V92" s="8" t="s">
        <v>4</v>
      </c>
      <c r="AA92">
        <f>(130+105+90+70+65+162+65+187+182+500+100+35+30+34+30+32+30+29)+AA90</f>
        <v>2081</v>
      </c>
      <c r="AB92" s="44" t="s">
        <v>275</v>
      </c>
      <c r="AC92" t="s">
        <v>286</v>
      </c>
      <c r="AE92" t="s">
        <v>313</v>
      </c>
      <c r="AG92" s="48">
        <f>130+105+90+70+65+162+65+187+182+500+100+35+30+34+30+32+30+29+70+100+60</f>
        <v>2106</v>
      </c>
      <c r="AH92" s="49">
        <f>$B$4-AG92</f>
        <v>1655</v>
      </c>
      <c r="AI92" s="49" t="s">
        <v>113</v>
      </c>
    </row>
    <row r="93" spans="1:31" ht="12.75">
      <c r="A93">
        <f>1657+35+403</f>
        <v>2095</v>
      </c>
      <c r="B93" s="5">
        <f>$B$4-A93</f>
        <v>1666</v>
      </c>
      <c r="C93" t="s">
        <v>44</v>
      </c>
      <c r="O93">
        <v>2090</v>
      </c>
      <c r="P93" s="5">
        <v>1671</v>
      </c>
      <c r="Q93" s="8" t="s">
        <v>4</v>
      </c>
      <c r="T93" s="5">
        <v>2091</v>
      </c>
      <c r="U93" s="6" t="s">
        <v>4</v>
      </c>
      <c r="V93" s="6" t="s">
        <v>4</v>
      </c>
      <c r="AB93" s="44" t="s">
        <v>276</v>
      </c>
      <c r="AE93" t="s">
        <v>314</v>
      </c>
    </row>
    <row r="94" spans="1:31" ht="13.5">
      <c r="A94" s="18">
        <f>130+105+90+70+65+162+65+187+182+500+100+35+30+34+30+32+30+29+70+100+60</f>
        <v>2106</v>
      </c>
      <c r="B94" s="5">
        <f>$B$4-A94</f>
        <v>1655</v>
      </c>
      <c r="C94" s="18" t="s">
        <v>45</v>
      </c>
      <c r="O94">
        <v>2100</v>
      </c>
      <c r="P94" s="5">
        <v>1661</v>
      </c>
      <c r="Q94" s="6" t="s">
        <v>4</v>
      </c>
      <c r="U94" s="6" t="s">
        <v>4</v>
      </c>
      <c r="V94" s="6" t="s">
        <v>4</v>
      </c>
      <c r="AB94" s="42" t="s">
        <v>277</v>
      </c>
      <c r="AC94" t="s">
        <v>287</v>
      </c>
      <c r="AE94" t="s">
        <v>315</v>
      </c>
    </row>
    <row r="95" spans="1:31" ht="13.5">
      <c r="A95">
        <v>2110</v>
      </c>
      <c r="B95" s="5">
        <f>$B$4-A95</f>
        <v>1651</v>
      </c>
      <c r="O95">
        <v>2110</v>
      </c>
      <c r="P95" s="5">
        <v>1651</v>
      </c>
      <c r="Q95" s="6" t="s">
        <v>4</v>
      </c>
      <c r="U95" s="5" t="s">
        <v>243</v>
      </c>
      <c r="V95" s="6" t="s">
        <v>4</v>
      </c>
      <c r="AB95" s="42" t="s">
        <v>278</v>
      </c>
      <c r="AC95" t="s">
        <v>288</v>
      </c>
      <c r="AE95" t="s">
        <v>316</v>
      </c>
    </row>
    <row r="96" spans="1:31" ht="13.5">
      <c r="A96" s="18">
        <f>130+105+90+70+65+162+65+187+182+500+100+35+30+34+30+32+30+29+70+175</f>
        <v>2121</v>
      </c>
      <c r="B96" s="5">
        <f>$B$4-A96</f>
        <v>1640</v>
      </c>
      <c r="C96" s="18" t="s">
        <v>46</v>
      </c>
      <c r="E96" s="2" t="s">
        <v>137</v>
      </c>
      <c r="O96">
        <v>2120</v>
      </c>
      <c r="P96" s="5">
        <v>1641</v>
      </c>
      <c r="Q96" s="8" t="s">
        <v>4</v>
      </c>
      <c r="U96" s="5">
        <v>2121</v>
      </c>
      <c r="V96" s="6" t="s">
        <v>4</v>
      </c>
      <c r="AB96" s="42" t="s">
        <v>279</v>
      </c>
      <c r="AC96" t="s">
        <v>289</v>
      </c>
      <c r="AE96" t="s">
        <v>317</v>
      </c>
    </row>
    <row r="97" spans="1:31" ht="13.5">
      <c r="A97">
        <v>2128</v>
      </c>
      <c r="B97" s="5">
        <f>$B$4-A97</f>
        <v>1633</v>
      </c>
      <c r="C97" s="2" t="s">
        <v>47</v>
      </c>
      <c r="O97">
        <v>2130</v>
      </c>
      <c r="P97" s="5">
        <v>1631</v>
      </c>
      <c r="Q97" s="6" t="s">
        <v>4</v>
      </c>
      <c r="V97" s="6" t="s">
        <v>4</v>
      </c>
      <c r="AB97" s="43" t="s">
        <v>4</v>
      </c>
      <c r="AC97" t="s">
        <v>290</v>
      </c>
      <c r="AE97" t="s">
        <v>318</v>
      </c>
    </row>
    <row r="98" spans="1:31" ht="13.5">
      <c r="A98">
        <v>2147</v>
      </c>
      <c r="B98" s="5">
        <f>$B$4-A98</f>
        <v>1614</v>
      </c>
      <c r="C98" t="s">
        <v>48</v>
      </c>
      <c r="O98">
        <v>2140</v>
      </c>
      <c r="P98" s="5">
        <v>1621</v>
      </c>
      <c r="Q98" s="5" t="s">
        <v>146</v>
      </c>
      <c r="V98" s="5" t="s">
        <v>248</v>
      </c>
      <c r="AB98" s="2" t="s">
        <v>4</v>
      </c>
      <c r="AC98" t="s">
        <v>291</v>
      </c>
      <c r="AE98" t="s">
        <v>319</v>
      </c>
    </row>
    <row r="99" spans="1:31" ht="13.5">
      <c r="A99">
        <v>2150</v>
      </c>
      <c r="B99" s="5">
        <f>$B$4-A99</f>
        <v>1611</v>
      </c>
      <c r="C99" t="s">
        <v>49</v>
      </c>
      <c r="O99">
        <v>2150</v>
      </c>
      <c r="P99" s="7">
        <v>1611</v>
      </c>
      <c r="Q99" s="7">
        <v>2156</v>
      </c>
      <c r="V99" s="5">
        <v>2155</v>
      </c>
      <c r="AB99" s="2" t="s">
        <v>4</v>
      </c>
      <c r="AC99" t="s">
        <v>292</v>
      </c>
      <c r="AE99" t="s">
        <v>320</v>
      </c>
    </row>
    <row r="100" spans="1:31" ht="13.5">
      <c r="A100">
        <v>2160</v>
      </c>
      <c r="B100" s="5">
        <f>$B$4-A100</f>
        <v>1601</v>
      </c>
      <c r="C100" t="s">
        <v>50</v>
      </c>
      <c r="O100">
        <v>2160</v>
      </c>
      <c r="P100" s="5">
        <v>1601</v>
      </c>
      <c r="AB100" t="s">
        <v>280</v>
      </c>
      <c r="AC100" t="s">
        <v>293</v>
      </c>
      <c r="AE100" t="s">
        <v>321</v>
      </c>
    </row>
    <row r="101" spans="1:29" ht="13.5">
      <c r="A101">
        <v>2170</v>
      </c>
      <c r="B101" s="5">
        <f>$B$4-A101</f>
        <v>1591</v>
      </c>
      <c r="C101" t="s">
        <v>51</v>
      </c>
      <c r="O101">
        <v>2170</v>
      </c>
      <c r="P101" s="5">
        <v>1591</v>
      </c>
      <c r="AB101" t="s">
        <v>238</v>
      </c>
      <c r="AC101" t="s">
        <v>294</v>
      </c>
    </row>
    <row r="102" spans="1:35" ht="13.5">
      <c r="A102">
        <f>130+105+90+70+65+162+65+187+182+500+100+2+35+30+34+30+32+30+29+70+100+40+20+H102</f>
        <v>2176</v>
      </c>
      <c r="B102" s="5">
        <f>$B$4-A102</f>
        <v>1585</v>
      </c>
      <c r="C102" s="5" t="s">
        <v>52</v>
      </c>
      <c r="D102" t="s">
        <v>85</v>
      </c>
      <c r="H102">
        <v>68</v>
      </c>
      <c r="P102">
        <v>2180</v>
      </c>
      <c r="Q102" s="5">
        <v>1581</v>
      </c>
      <c r="AC102" s="2" t="s">
        <v>295</v>
      </c>
      <c r="AD102" t="s">
        <v>301</v>
      </c>
      <c r="AG102">
        <f>$AF$88+128</f>
        <v>2174</v>
      </c>
      <c r="AH102" s="28">
        <f>$B$4-AG102</f>
        <v>1587</v>
      </c>
      <c r="AI102" s="28" t="s">
        <v>113</v>
      </c>
    </row>
    <row r="103" spans="1:35" ht="13.5">
      <c r="A103">
        <v>2180</v>
      </c>
      <c r="B103" s="5">
        <f>$B$4-A103</f>
        <v>1581</v>
      </c>
      <c r="C103" s="5">
        <f>$B$4-A103</f>
        <v>1581</v>
      </c>
      <c r="P103">
        <v>2190</v>
      </c>
      <c r="Q103" s="5">
        <v>1571</v>
      </c>
      <c r="AC103" t="s">
        <v>9</v>
      </c>
      <c r="AD103" s="18" t="s">
        <v>302</v>
      </c>
      <c r="AG103" s="18">
        <f>130+105+90+70+65+162+65+187+182+500+100+35+30+34+30+32+30+29+70+100+40</f>
        <v>2086</v>
      </c>
      <c r="AH103" s="46">
        <f>$B$4-AG103</f>
        <v>1675</v>
      </c>
      <c r="AI103" s="46" t="s">
        <v>113</v>
      </c>
    </row>
    <row r="104" spans="1:30" ht="13.5">
      <c r="A104">
        <f>130+105+90+70+65+162+65+187+182+500+100+2+35+30+34+30+32+30+29+70+100+40+20+H104</f>
        <v>2183</v>
      </c>
      <c r="B104" s="5">
        <f>$B$4-A104</f>
        <v>1578</v>
      </c>
      <c r="C104" s="5" t="s">
        <v>52</v>
      </c>
      <c r="D104" t="s">
        <v>86</v>
      </c>
      <c r="H104">
        <v>75</v>
      </c>
      <c r="P104">
        <v>2200</v>
      </c>
      <c r="Q104" s="5">
        <v>1561</v>
      </c>
      <c r="AC104">
        <v>275</v>
      </c>
      <c r="AD104" t="s">
        <v>303</v>
      </c>
    </row>
    <row r="105" spans="1:29" ht="13.5">
      <c r="A105">
        <f>130+105+90+70+65+162+65+187+182+500+100+2+35+30+34+30+32+30+29+70+100+40+20+75</f>
        <v>2183</v>
      </c>
      <c r="B105" s="5">
        <f>$B$4-A105</f>
        <v>1578</v>
      </c>
      <c r="C105" s="5" t="s">
        <v>53</v>
      </c>
      <c r="D105" s="2" t="s">
        <v>87</v>
      </c>
      <c r="H105">
        <v>75</v>
      </c>
      <c r="P105">
        <v>2210</v>
      </c>
      <c r="Q105" s="5">
        <v>1551</v>
      </c>
      <c r="AC105" t="s">
        <v>146</v>
      </c>
    </row>
    <row r="106" spans="1:31" ht="13.5">
      <c r="A106">
        <f>130+105+90+70+65+162+65+187+182+500+100+2+35+30+34+30+32+30+29+70+100+40+20+H106</f>
        <v>2185</v>
      </c>
      <c r="B106" s="5">
        <f>$B$4-A106</f>
        <v>1576</v>
      </c>
      <c r="C106" t="s">
        <v>54</v>
      </c>
      <c r="D106" s="2" t="s">
        <v>88</v>
      </c>
      <c r="H106">
        <v>77</v>
      </c>
      <c r="P106">
        <v>2220</v>
      </c>
      <c r="Q106" s="7">
        <v>1541</v>
      </c>
      <c r="AC106">
        <f>(130+105+90+70+65+162+65+187+182+500+100+35+30+34+30+32+30+29+70)+275</f>
        <v>2221</v>
      </c>
      <c r="AD106" s="28">
        <f>$B$4-AC106</f>
        <v>1540</v>
      </c>
      <c r="AE106" s="28" t="s">
        <v>113</v>
      </c>
    </row>
    <row r="107" spans="1:36" ht="13.5">
      <c r="A107">
        <f>1722+34+430</f>
        <v>2186</v>
      </c>
      <c r="B107" s="5">
        <f>$B$4-A107</f>
        <v>1575</v>
      </c>
      <c r="C107" t="s">
        <v>55</v>
      </c>
      <c r="D107" t="s">
        <v>89</v>
      </c>
      <c r="I107">
        <v>464</v>
      </c>
      <c r="P107">
        <v>2230</v>
      </c>
      <c r="Q107" s="28">
        <f>$B$4-P107</f>
        <v>1531</v>
      </c>
      <c r="R107" s="28" t="s">
        <v>113</v>
      </c>
      <c r="S107" s="28" t="s">
        <v>138</v>
      </c>
      <c r="AG107">
        <f>$AF$88+180</f>
        <v>2226</v>
      </c>
      <c r="AH107" s="28">
        <f>$B$4-AG107</f>
        <v>1535</v>
      </c>
      <c r="AI107" s="28" t="s">
        <v>113</v>
      </c>
      <c r="AJ107" t="s">
        <v>138</v>
      </c>
    </row>
    <row r="108" spans="1:32" ht="13.5">
      <c r="A108">
        <f>130+105+90+70+65+162+65+187+182+500+100+2+35+30+34+30+32+30+29+70+100+40+20+H108</f>
        <v>2188</v>
      </c>
      <c r="B108" s="5">
        <f>$B$4-A108</f>
        <v>1573</v>
      </c>
      <c r="C108" t="s">
        <v>56</v>
      </c>
      <c r="D108" s="2" t="s">
        <v>90</v>
      </c>
      <c r="F108">
        <f>1573-137</f>
        <v>1436</v>
      </c>
      <c r="G108" t="s">
        <v>148</v>
      </c>
      <c r="H108">
        <v>80</v>
      </c>
      <c r="P108">
        <v>2240</v>
      </c>
      <c r="Q108">
        <v>1521</v>
      </c>
      <c r="AF108" s="29" t="str">
        <f>AE1</f>
        <v>Ende konkreter Angaben</v>
      </c>
    </row>
    <row r="109" spans="1:35" ht="13.5">
      <c r="A109">
        <f>130+105+90+70+65+162+65+187+182+500+100+2+35+30+34+30+32+30+29+70+100+40+20+H109</f>
        <v>2188</v>
      </c>
      <c r="B109" s="5">
        <f>$B$4-A109</f>
        <v>1573</v>
      </c>
      <c r="C109" t="s">
        <v>57</v>
      </c>
      <c r="D109" t="s">
        <v>91</v>
      </c>
      <c r="H109">
        <v>80</v>
      </c>
      <c r="S109">
        <v>2250</v>
      </c>
      <c r="T109">
        <v>1511</v>
      </c>
      <c r="AI109" s="29"/>
    </row>
    <row r="110" spans="1:35" ht="13.5">
      <c r="A110">
        <v>2190</v>
      </c>
      <c r="B110" s="5">
        <f>$B$4-A110</f>
        <v>1571</v>
      </c>
      <c r="C110">
        <f>$B$4-A110</f>
        <v>1571</v>
      </c>
      <c r="S110">
        <v>2260</v>
      </c>
      <c r="T110">
        <v>1501</v>
      </c>
      <c r="AI110" s="29"/>
    </row>
    <row r="111" spans="1:35" ht="13.5">
      <c r="A111">
        <f>130+105+90+70+65+162+65+187+182+500+100+2+35+30+34+30+32+30+29+70+100+40+20+H111</f>
        <v>2190</v>
      </c>
      <c r="B111" s="5">
        <f>$B$4-A111</f>
        <v>1571</v>
      </c>
      <c r="C111" t="s">
        <v>52</v>
      </c>
      <c r="D111" s="2" t="s">
        <v>92</v>
      </c>
      <c r="H111">
        <v>82</v>
      </c>
      <c r="S111">
        <v>2270</v>
      </c>
      <c r="T111">
        <v>1491</v>
      </c>
      <c r="AI111" s="29"/>
    </row>
    <row r="112" spans="1:35" ht="13.5">
      <c r="A112">
        <f>130+105+90+70+65+162+65+187+182+500+100+2+35+30+34+30+32+30+29+70+100+40+20+H112</f>
        <v>2190</v>
      </c>
      <c r="B112" s="5">
        <f>$B$4-A112</f>
        <v>1571</v>
      </c>
      <c r="C112" t="s">
        <v>58</v>
      </c>
      <c r="D112" s="2" t="s">
        <v>93</v>
      </c>
      <c r="H112">
        <v>82</v>
      </c>
      <c r="S112">
        <v>2280</v>
      </c>
      <c r="T112">
        <v>1481</v>
      </c>
      <c r="AI112" s="29"/>
    </row>
    <row r="113" spans="1:35" ht="13.5">
      <c r="A113">
        <v>2191</v>
      </c>
      <c r="B113" s="5">
        <f>$B$4-A113</f>
        <v>1570</v>
      </c>
      <c r="C113">
        <f>$B$4-A113</f>
        <v>1570</v>
      </c>
      <c r="S113">
        <v>2290</v>
      </c>
      <c r="T113">
        <v>1471</v>
      </c>
      <c r="AI113" s="29"/>
    </row>
    <row r="114" spans="1:35" ht="13.5">
      <c r="A114">
        <f>130+105+90+70+65+162+65+187+182+500+100+2+35+30+34+30+32+30+29+70+100+40+20+H114</f>
        <v>2191</v>
      </c>
      <c r="B114" s="5">
        <f>$B$4-A114</f>
        <v>1570</v>
      </c>
      <c r="C114" t="s">
        <v>59</v>
      </c>
      <c r="D114" t="s">
        <v>91</v>
      </c>
      <c r="H114">
        <v>83</v>
      </c>
      <c r="S114">
        <v>2300</v>
      </c>
      <c r="T114">
        <v>1461</v>
      </c>
      <c r="AI114" s="29"/>
    </row>
    <row r="115" spans="1:35" ht="13.5">
      <c r="A115">
        <f>130+105+90+70+65+162+65+187+182+500+100+2+35+30+34+30+32+30+29+70+100+40+20+H115</f>
        <v>2192</v>
      </c>
      <c r="B115" s="5">
        <f>$B$4-A115</f>
        <v>1569</v>
      </c>
      <c r="C115" t="s">
        <v>60</v>
      </c>
      <c r="D115" t="s">
        <v>94</v>
      </c>
      <c r="H115">
        <v>84</v>
      </c>
      <c r="S115">
        <v>2310</v>
      </c>
      <c r="T115">
        <v>1451</v>
      </c>
      <c r="AI115" s="29"/>
    </row>
    <row r="116" spans="1:35" ht="13.5">
      <c r="A116">
        <f>130+105+90+70+65+162+65+187+182+500+100+2+35+30+34+30+32+30+29+70+100+40+20+H116</f>
        <v>2193</v>
      </c>
      <c r="B116" s="5">
        <f>$B$4-A116</f>
        <v>1568</v>
      </c>
      <c r="C116" t="s">
        <v>61</v>
      </c>
      <c r="D116" s="2" t="s">
        <v>95</v>
      </c>
      <c r="H116">
        <v>85</v>
      </c>
      <c r="S116">
        <v>2320</v>
      </c>
      <c r="T116">
        <v>1441</v>
      </c>
      <c r="AI116" s="29"/>
    </row>
    <row r="117" spans="1:20" ht="13.5">
      <c r="A117">
        <f>130+105+90+70+65+162+65+187+182+500+100+2+35+30+34+30+32+30+29+70+100+40+20+H117</f>
        <v>2194</v>
      </c>
      <c r="B117" s="5">
        <f>$B$4-A117</f>
        <v>1567</v>
      </c>
      <c r="C117" t="s">
        <v>62</v>
      </c>
      <c r="D117" t="s">
        <v>94</v>
      </c>
      <c r="H117">
        <v>86</v>
      </c>
      <c r="S117">
        <v>2330</v>
      </c>
      <c r="T117">
        <v>1431</v>
      </c>
    </row>
    <row r="118" spans="1:20" ht="13.5">
      <c r="A118">
        <v>2195</v>
      </c>
      <c r="B118" s="5">
        <f>$B$4-A118</f>
        <v>1566</v>
      </c>
      <c r="C118">
        <f>$B$4-A118</f>
        <v>1566</v>
      </c>
      <c r="S118">
        <v>2340</v>
      </c>
      <c r="T118">
        <v>1421</v>
      </c>
    </row>
    <row r="119" spans="1:19" ht="13.5">
      <c r="A119">
        <f>130+105+90+70+65+162+65+187+182+500+100+2+35+30+34+30+32+30+29+70+100+40+20+H119</f>
        <v>2195</v>
      </c>
      <c r="B119" s="5">
        <f>$B$4-A119</f>
        <v>1566</v>
      </c>
      <c r="C119" t="s">
        <v>63</v>
      </c>
      <c r="D119" s="2" t="s">
        <v>96</v>
      </c>
      <c r="H119">
        <v>87</v>
      </c>
      <c r="S119" s="2" t="s">
        <v>4</v>
      </c>
    </row>
    <row r="120" spans="1:10" ht="13.5">
      <c r="A120">
        <f>130+105+90+70+65+162+65+187+182+500+100+2+35+30+34+30+32+30+29+70+100+40+20+H120</f>
        <v>2195</v>
      </c>
      <c r="B120" s="5">
        <f>$B$4-A120</f>
        <v>1566</v>
      </c>
      <c r="C120" t="s">
        <v>64</v>
      </c>
      <c r="D120" s="2" t="s">
        <v>97</v>
      </c>
      <c r="H120">
        <v>87</v>
      </c>
      <c r="J120" t="s">
        <v>165</v>
      </c>
    </row>
    <row r="121" spans="1:8" ht="13.5">
      <c r="A121">
        <f>130+105+90+70+65+162+65+187+182+500+100+2+35+30+34+30+32+30+29+70+100+40+20+H121</f>
        <v>2204</v>
      </c>
      <c r="B121" s="5">
        <f>$B$4-A121</f>
        <v>1557</v>
      </c>
      <c r="C121" t="s">
        <v>65</v>
      </c>
      <c r="D121" t="s">
        <v>98</v>
      </c>
      <c r="H121">
        <v>96</v>
      </c>
    </row>
    <row r="122" spans="1:8" ht="13.5">
      <c r="A122">
        <f>130+105+90+70+65+162+65+187+182+500+100+2+35+30+34+30+32+30+29+70+100+40+20+H122</f>
        <v>2204</v>
      </c>
      <c r="B122" s="5">
        <f>$B$4-A122</f>
        <v>1557</v>
      </c>
      <c r="C122" t="s">
        <v>66</v>
      </c>
      <c r="D122" t="s">
        <v>99</v>
      </c>
      <c r="H122">
        <v>96</v>
      </c>
    </row>
    <row r="123" spans="1:8" ht="13.5">
      <c r="A123">
        <f>130+105+90+70+65+162+65+187+182+500+100+2+35+30+34+30+32+30+29+70+100+40+20+H123</f>
        <v>2205</v>
      </c>
      <c r="B123" s="5">
        <f>$B$4-A123</f>
        <v>1556</v>
      </c>
      <c r="C123" t="s">
        <v>67</v>
      </c>
      <c r="D123" t="s">
        <v>100</v>
      </c>
      <c r="H123">
        <v>97</v>
      </c>
    </row>
    <row r="124" spans="1:8" ht="13.5">
      <c r="A124">
        <f>130+105+90+70+65+162+65+187+182+500+100+2+35+30+34+30+32+30+29+70+100+40+20+H124</f>
        <v>2206</v>
      </c>
      <c r="B124" s="5">
        <f>$B$4-A124</f>
        <v>1555</v>
      </c>
      <c r="C124" t="s">
        <v>52</v>
      </c>
      <c r="D124" t="s">
        <v>101</v>
      </c>
      <c r="H124">
        <v>98</v>
      </c>
    </row>
    <row r="125" spans="1:8" ht="13.5">
      <c r="A125">
        <f>1947+100+180-20</f>
        <v>2207</v>
      </c>
      <c r="B125" s="5">
        <f>$B$4-A125</f>
        <v>1554</v>
      </c>
      <c r="C125" t="s">
        <v>68</v>
      </c>
      <c r="D125" s="63" t="s">
        <v>102</v>
      </c>
      <c r="E125" s="15"/>
      <c r="F125" s="15"/>
      <c r="G125" s="15"/>
      <c r="H125" s="15"/>
    </row>
    <row r="126" spans="1:8" ht="13.5">
      <c r="A126">
        <f>130+105+90+70+65+162+65+187+182+500+100+2+35+30+34+30+32+30+29+70+100+40+20+H126</f>
        <v>2209</v>
      </c>
      <c r="B126" s="5">
        <f>$B$4-A126</f>
        <v>1552</v>
      </c>
      <c r="C126" t="s">
        <v>52</v>
      </c>
      <c r="D126" t="s">
        <v>103</v>
      </c>
      <c r="H126">
        <v>101</v>
      </c>
    </row>
    <row r="127" spans="1:8" ht="13.5">
      <c r="A127">
        <f>130+105+90+70+65+162+65+187+182+500+100+2+35+30+34+30+32+30+29+70+100+40+20+H127</f>
        <v>2210</v>
      </c>
      <c r="B127" s="5">
        <f>$B$4-A127</f>
        <v>1551</v>
      </c>
      <c r="C127" t="s">
        <v>69</v>
      </c>
      <c r="D127" s="18" t="s">
        <v>104</v>
      </c>
      <c r="E127" s="18"/>
      <c r="F127" s="18"/>
      <c r="G127" s="18"/>
      <c r="H127">
        <v>102</v>
      </c>
    </row>
    <row r="128" spans="1:8" ht="16.5" customHeight="1">
      <c r="A128">
        <f>130+105+90+70+65+162+65+187+182+500+100+2+35+30+34+30+32+30+29+70+100+40+20+H128</f>
        <v>2210</v>
      </c>
      <c r="B128" s="5">
        <f>$B$4-A128</f>
        <v>1551</v>
      </c>
      <c r="C128" t="s">
        <v>70</v>
      </c>
      <c r="D128" t="s">
        <v>105</v>
      </c>
      <c r="H128">
        <v>102</v>
      </c>
    </row>
    <row r="129" spans="1:9" ht="13.5">
      <c r="A129">
        <f>130+105+90+70+65+162+65+187+182+500+100+2+35+30+34+30+32+30+29+70+100+40+20+H129</f>
        <v>2210</v>
      </c>
      <c r="B129" s="5">
        <f>$B$4-A129</f>
        <v>1551</v>
      </c>
      <c r="C129" t="s">
        <v>65</v>
      </c>
      <c r="D129" t="s">
        <v>106</v>
      </c>
      <c r="H129">
        <v>102</v>
      </c>
      <c r="I129">
        <v>15</v>
      </c>
    </row>
    <row r="130" spans="1:8" ht="13.5">
      <c r="A130">
        <f>130+105+90+70+65+162+65+187+182+500+100+2+35+30+34+30+32+30+29+70+100+40+20+H130</f>
        <v>2211</v>
      </c>
      <c r="B130" s="5">
        <f>$B$4-A130</f>
        <v>1550</v>
      </c>
      <c r="C130" t="s">
        <v>52</v>
      </c>
      <c r="D130" t="s">
        <v>107</v>
      </c>
      <c r="H130">
        <v>103</v>
      </c>
    </row>
    <row r="131" spans="1:8" ht="13.5">
      <c r="A131">
        <f>130+105+90+70+65+162+65+187+182+500+100+2+35+30+34+30+32+30+29+70+100+40+20+H131</f>
        <v>2213</v>
      </c>
      <c r="B131" s="5">
        <f>$B$4-A131</f>
        <v>1548</v>
      </c>
      <c r="C131" t="s">
        <v>71</v>
      </c>
      <c r="D131" t="s">
        <v>108</v>
      </c>
      <c r="H131">
        <v>105</v>
      </c>
    </row>
    <row r="132" spans="1:9" ht="13.5">
      <c r="A132">
        <f>130+105+90+70+65+162+65+187+182+500+100+2+35+30+34+30+32+30+29+70+100+40+20+H132</f>
        <v>2218</v>
      </c>
      <c r="B132" s="5">
        <f>$B$4-A132</f>
        <v>1543</v>
      </c>
      <c r="C132" t="s">
        <v>72</v>
      </c>
      <c r="D132" t="s">
        <v>109</v>
      </c>
      <c r="H132">
        <v>110</v>
      </c>
      <c r="I132">
        <v>155</v>
      </c>
    </row>
    <row r="133" spans="1:8" ht="13.5">
      <c r="A133">
        <f>2195+H133</f>
        <v>2225</v>
      </c>
      <c r="B133" s="5">
        <f>$B$4-A133</f>
        <v>1536</v>
      </c>
      <c r="C133" t="s">
        <v>73</v>
      </c>
      <c r="D133" s="63" t="s">
        <v>110</v>
      </c>
      <c r="E133" s="15"/>
      <c r="F133" s="15"/>
      <c r="G133" s="15"/>
      <c r="H133" s="15">
        <v>30</v>
      </c>
    </row>
    <row r="134" spans="1:4" ht="13.5">
      <c r="A134">
        <v>2225</v>
      </c>
      <c r="B134" s="5">
        <f>$B$4-A134</f>
        <v>1536</v>
      </c>
      <c r="C134" s="28">
        <f>$B$4-A134</f>
        <v>1536</v>
      </c>
      <c r="D134" t="s">
        <v>111</v>
      </c>
    </row>
    <row r="135" spans="1:9" ht="13.5">
      <c r="A135">
        <f>1947+100+180</f>
        <v>2227</v>
      </c>
      <c r="B135" s="5">
        <f>$B$4-A135</f>
        <v>1534</v>
      </c>
      <c r="C135" t="s">
        <v>74</v>
      </c>
      <c r="D135" s="64" t="s">
        <v>112</v>
      </c>
      <c r="E135" s="62"/>
      <c r="F135" s="62"/>
      <c r="G135" s="62"/>
      <c r="H135" s="15"/>
      <c r="I135">
        <v>180</v>
      </c>
    </row>
    <row r="136" spans="1:7" ht="13.5">
      <c r="A136">
        <v>2230</v>
      </c>
      <c r="B136" s="5">
        <f>$B$4-A136</f>
        <v>1531</v>
      </c>
      <c r="C136" s="28">
        <f>$B$4-A136</f>
        <v>1531</v>
      </c>
      <c r="D136" s="28" t="s">
        <v>113</v>
      </c>
      <c r="G136">
        <f>2221+300-1656</f>
        <v>865</v>
      </c>
    </row>
    <row r="137" spans="1:8" ht="13.5">
      <c r="A137">
        <f>2108+H137</f>
        <v>2238</v>
      </c>
      <c r="B137" s="5">
        <f>$B$4-A137</f>
        <v>1523</v>
      </c>
      <c r="C137" t="s">
        <v>52</v>
      </c>
      <c r="D137" s="63" t="s">
        <v>114</v>
      </c>
      <c r="E137" s="15"/>
      <c r="F137" s="15"/>
      <c r="G137" s="15"/>
      <c r="H137" s="15">
        <v>130</v>
      </c>
    </row>
    <row r="138" spans="1:8" ht="13.5">
      <c r="A138">
        <f>2195+H138</f>
        <v>2239</v>
      </c>
      <c r="B138" s="5">
        <f>$B$4-A138</f>
        <v>1522</v>
      </c>
      <c r="C138" t="s">
        <v>73</v>
      </c>
      <c r="D138" s="63" t="s">
        <v>115</v>
      </c>
      <c r="E138" s="15"/>
      <c r="F138" s="15"/>
      <c r="G138" s="15"/>
      <c r="H138" s="15">
        <v>44</v>
      </c>
    </row>
    <row r="139" spans="1:2" ht="13.5">
      <c r="A139">
        <v>2240</v>
      </c>
      <c r="B139">
        <f>$B$4-A139</f>
        <v>1521</v>
      </c>
    </row>
    <row r="140" spans="1:8" ht="13.5">
      <c r="A140">
        <f>2108+H140</f>
        <v>2255</v>
      </c>
      <c r="B140" s="5">
        <f>$B$4-A140</f>
        <v>1506</v>
      </c>
      <c r="C140" t="s">
        <v>52</v>
      </c>
      <c r="D140" s="63" t="s">
        <v>116</v>
      </c>
      <c r="H140" s="15">
        <v>147</v>
      </c>
    </row>
    <row r="141" spans="1:5" ht="13.5">
      <c r="A141">
        <v>2250</v>
      </c>
      <c r="B141" s="5">
        <f>$B$4-A141</f>
        <v>1511</v>
      </c>
      <c r="D141" s="18" t="s">
        <v>117</v>
      </c>
      <c r="E141" s="28" t="s">
        <v>138</v>
      </c>
    </row>
    <row r="142" spans="1:4" ht="13.5">
      <c r="A142">
        <v>2260</v>
      </c>
      <c r="B142" s="5">
        <f>$B$4-A142</f>
        <v>1501</v>
      </c>
      <c r="D142" t="s">
        <v>118</v>
      </c>
    </row>
    <row r="143" spans="1:9" ht="13.5">
      <c r="A143">
        <f>130+105+90+70+65+162+65+187+182+500+100+2+35+30+34+30+32+30+29+70+100+40+20+87+H143</f>
        <v>2305</v>
      </c>
      <c r="B143" s="5">
        <f>$B$4-A143</f>
        <v>1456</v>
      </c>
      <c r="C143" t="s">
        <v>73</v>
      </c>
      <c r="D143" s="63" t="s">
        <v>119</v>
      </c>
      <c r="H143" s="15">
        <v>110</v>
      </c>
      <c r="I143">
        <f>49*47+0*7+2</f>
        <v>2305</v>
      </c>
    </row>
    <row r="144" spans="1:4" ht="13.5">
      <c r="A144">
        <v>2280</v>
      </c>
      <c r="B144" s="5">
        <f>$B$4-A144</f>
        <v>1481</v>
      </c>
      <c r="C144" s="5"/>
      <c r="D144" t="s">
        <v>120</v>
      </c>
    </row>
    <row r="145" spans="1:2" ht="13.5">
      <c r="A145">
        <v>2290</v>
      </c>
      <c r="B145" s="5">
        <f>$B$4-A145</f>
        <v>1471</v>
      </c>
    </row>
    <row r="146" spans="1:2" ht="13.5">
      <c r="A146">
        <v>2300</v>
      </c>
      <c r="B146" s="5">
        <f>$B$4-A146</f>
        <v>1461</v>
      </c>
    </row>
    <row r="147" spans="1:2" ht="13.5">
      <c r="A147">
        <v>2310</v>
      </c>
      <c r="B147" s="5">
        <f>$B$4-A147</f>
        <v>1451</v>
      </c>
    </row>
    <row r="148" spans="1:2" ht="13.5">
      <c r="A148">
        <v>2320</v>
      </c>
      <c r="B148" s="5">
        <f>$B$4-A148</f>
        <v>1441</v>
      </c>
    </row>
    <row r="149" spans="1:4" ht="13.5">
      <c r="A149">
        <f>B4-B149</f>
        <v>2325</v>
      </c>
      <c r="B149" s="5">
        <f>$B$4-A108-137</f>
        <v>1436</v>
      </c>
      <c r="C149" t="s">
        <v>75</v>
      </c>
      <c r="D149" t="s">
        <v>121</v>
      </c>
    </row>
    <row r="150" ht="13.5">
      <c r="B150" s="5"/>
    </row>
    <row r="151" ht="13.5">
      <c r="B151" s="5"/>
    </row>
    <row r="152" spans="1:3" ht="15.75">
      <c r="A152">
        <f>(47-1)*49+(7-1)*7+7-1</f>
        <v>2302</v>
      </c>
      <c r="B152" s="5">
        <f>$B$4-A152</f>
        <v>1459</v>
      </c>
      <c r="C152" s="65" t="s">
        <v>76</v>
      </c>
    </row>
    <row r="153" spans="1:3" ht="15.75">
      <c r="A153">
        <f>(48-1)*49+(4-1)*7+6-1</f>
        <v>2329</v>
      </c>
      <c r="B153" s="5">
        <f>$B$4-A153</f>
        <v>1432</v>
      </c>
      <c r="C153" s="65" t="s">
        <v>77</v>
      </c>
    </row>
    <row r="154" spans="1:3" ht="15.75">
      <c r="A154">
        <f>(48-1)*49+(4-1)*7+6-1+3*7</f>
        <v>2350</v>
      </c>
      <c r="B154" s="5">
        <f>$B$4-A154</f>
        <v>1411</v>
      </c>
      <c r="C154" s="65" t="s">
        <v>78</v>
      </c>
    </row>
    <row r="155" spans="1:3" ht="15.75">
      <c r="A155">
        <f>(49-1)*49+(3-1)*7+6-1</f>
        <v>2371</v>
      </c>
      <c r="B155" s="5">
        <f>$B$4-A155</f>
        <v>1390</v>
      </c>
      <c r="C155" s="65" t="s">
        <v>79</v>
      </c>
    </row>
    <row r="156" spans="1:3" ht="15.75">
      <c r="A156">
        <f>(50-1)*49+(2-1)*7+6-1</f>
        <v>2413</v>
      </c>
      <c r="B156" s="5">
        <f>$B$4-A156</f>
        <v>1348</v>
      </c>
      <c r="C156" s="65" t="s">
        <v>80</v>
      </c>
    </row>
    <row r="157" spans="1:4" ht="13.5">
      <c r="A157" s="29">
        <f>49*49+7+2</f>
        <v>2410</v>
      </c>
      <c r="B157" s="5">
        <f>$B$4-A157</f>
        <v>1351</v>
      </c>
      <c r="C157" t="s">
        <v>81</v>
      </c>
      <c r="D157" s="18" t="s">
        <v>122</v>
      </c>
    </row>
    <row r="158" spans="1:4" ht="13.5">
      <c r="A158">
        <f>49*50</f>
        <v>2450</v>
      </c>
      <c r="B158" s="5">
        <f>$B$4-A158</f>
        <v>1311</v>
      </c>
      <c r="C158" t="s">
        <v>82</v>
      </c>
      <c r="D158" t="s">
        <v>123</v>
      </c>
    </row>
    <row r="171" ht="13.5">
      <c r="A171">
        <f>50*49</f>
        <v>2450</v>
      </c>
    </row>
  </sheetData>
  <sheetProtection/>
  <printOptions/>
  <pageMargins left="0.7875" right="0.7875" top="0.7875" bottom="0.7875" header="0.49166666666666664" footer="0.49166666666666664"/>
  <pageSetup horizontalDpi="30066" verticalDpi="30066" orientation="portrait" paperSize="9"/>
  <legacyDrawing r:id="rId2"/>
</worksheet>
</file>

<file path=xl/worksheets/sheet2.xml><?xml version="1.0" encoding="utf-8"?>
<worksheet xmlns="http://schemas.openxmlformats.org/spreadsheetml/2006/main" xmlns:r="http://schemas.openxmlformats.org/officeDocument/2006/relationships">
  <dimension ref="A1:L117"/>
  <sheetViews>
    <sheetView workbookViewId="0" topLeftCell="A93">
      <selection activeCell="D107" sqref="D107"/>
    </sheetView>
  </sheetViews>
  <sheetFormatPr defaultColWidth="10.00390625" defaultRowHeight="12.75"/>
  <cols>
    <col min="1" max="1" width="11.00390625" style="0" bestFit="1" customWidth="1"/>
    <col min="2" max="2" width="15.421875" style="0" customWidth="1"/>
    <col min="3" max="3" width="50.00390625" style="0" customWidth="1"/>
    <col min="4" max="4" width="10.00390625" style="0" bestFit="1" customWidth="1"/>
    <col min="5" max="5" width="11.421875" style="0" customWidth="1"/>
    <col min="6" max="7" width="11.00390625" style="0" bestFit="1" customWidth="1"/>
    <col min="8" max="8" width="11.00390625" style="48" bestFit="1" customWidth="1"/>
    <col min="9" max="256" width="11.00390625" style="0" bestFit="1" customWidth="1"/>
  </cols>
  <sheetData>
    <row r="1" ht="15.75">
      <c r="A1" s="51" t="s">
        <v>327</v>
      </c>
    </row>
    <row r="2" spans="1:10" ht="15">
      <c r="A2" t="s">
        <v>328</v>
      </c>
      <c r="B2" t="s">
        <v>330</v>
      </c>
      <c r="C2" t="s">
        <v>394</v>
      </c>
      <c r="F2" s="19" t="s">
        <v>465</v>
      </c>
      <c r="H2" s="48">
        <f>H4-F4</f>
        <v>191</v>
      </c>
      <c r="I2" t="s">
        <v>469</v>
      </c>
      <c r="J2" t="s">
        <v>471</v>
      </c>
    </row>
    <row r="3" spans="1:12" ht="75">
      <c r="A3" s="53" t="s">
        <v>329</v>
      </c>
      <c r="B3" s="54"/>
      <c r="C3" s="54"/>
      <c r="D3" s="15" t="s">
        <v>463</v>
      </c>
      <c r="E3" s="15" t="s">
        <v>464</v>
      </c>
      <c r="F3" s="60" t="s">
        <v>466</v>
      </c>
      <c r="G3" s="56" t="s">
        <v>467</v>
      </c>
      <c r="H3" s="58" t="s">
        <v>468</v>
      </c>
      <c r="I3" s="55" t="s">
        <v>470</v>
      </c>
      <c r="J3" s="57" t="s">
        <v>472</v>
      </c>
      <c r="K3" s="15" t="s">
        <v>473</v>
      </c>
      <c r="L3" s="56" t="s">
        <v>474</v>
      </c>
    </row>
    <row r="4" spans="1:11" ht="12.75">
      <c r="A4">
        <v>1</v>
      </c>
      <c r="B4" t="s">
        <v>331</v>
      </c>
      <c r="C4" t="s">
        <v>395</v>
      </c>
      <c r="D4">
        <f>235+820</f>
        <v>1055</v>
      </c>
      <c r="F4">
        <v>3761</v>
      </c>
      <c r="G4">
        <v>4004</v>
      </c>
      <c r="H4" s="48">
        <v>3952</v>
      </c>
      <c r="I4">
        <v>3950</v>
      </c>
      <c r="J4">
        <v>5500</v>
      </c>
      <c r="K4">
        <v>4131</v>
      </c>
    </row>
    <row r="5" spans="1:11" ht="12.75">
      <c r="A5">
        <v>130</v>
      </c>
      <c r="B5" t="s">
        <v>332</v>
      </c>
      <c r="C5" t="s">
        <v>396</v>
      </c>
      <c r="D5">
        <v>130</v>
      </c>
      <c r="F5">
        <f>$F$4-A5</f>
        <v>3631</v>
      </c>
      <c r="G5">
        <f>G$4-$A5</f>
        <v>3874</v>
      </c>
      <c r="H5" s="48">
        <f>H$4-$A5</f>
        <v>3822</v>
      </c>
      <c r="I5">
        <f>I$4-$A5</f>
        <v>3820</v>
      </c>
      <c r="J5">
        <f>J$4-$A5</f>
        <v>5370</v>
      </c>
      <c r="K5">
        <f>K$4-$A5</f>
        <v>4001</v>
      </c>
    </row>
    <row r="6" spans="1:11" ht="12.75">
      <c r="A6">
        <f>130+105</f>
        <v>235</v>
      </c>
      <c r="B6" t="s">
        <v>333</v>
      </c>
      <c r="C6" t="s">
        <v>397</v>
      </c>
      <c r="D6">
        <v>105</v>
      </c>
      <c r="F6">
        <f>$F$4-A6</f>
        <v>3526</v>
      </c>
      <c r="G6">
        <f>G$4-$A6</f>
        <v>3769</v>
      </c>
      <c r="H6" s="48">
        <f>H$4-$A6</f>
        <v>3717</v>
      </c>
      <c r="I6">
        <f>I$4-$A6</f>
        <v>3715</v>
      </c>
      <c r="J6">
        <f>J$4-$A6</f>
        <v>5265</v>
      </c>
      <c r="K6">
        <f>K$4-$A6</f>
        <v>3896</v>
      </c>
    </row>
    <row r="7" spans="1:11" ht="12.75">
      <c r="A7">
        <f>130+105+90</f>
        <v>325</v>
      </c>
      <c r="B7" t="s">
        <v>334</v>
      </c>
      <c r="C7" t="s">
        <v>398</v>
      </c>
      <c r="D7">
        <v>90</v>
      </c>
      <c r="F7">
        <f>$F$4-A7</f>
        <v>3436</v>
      </c>
      <c r="G7">
        <f>G$4-$A7</f>
        <v>3679</v>
      </c>
      <c r="H7" s="48">
        <f>H$4-$A7</f>
        <v>3627</v>
      </c>
      <c r="I7">
        <f>I$4-$A7</f>
        <v>3625</v>
      </c>
      <c r="J7">
        <f>J$4-$A7</f>
        <v>5175</v>
      </c>
      <c r="K7">
        <f>K$4-$A7</f>
        <v>3806</v>
      </c>
    </row>
    <row r="8" spans="1:11" ht="12.75">
      <c r="A8">
        <f>130+105+90+70</f>
        <v>395</v>
      </c>
      <c r="B8" t="s">
        <v>335</v>
      </c>
      <c r="C8" t="s">
        <v>399</v>
      </c>
      <c r="D8">
        <v>70</v>
      </c>
      <c r="F8">
        <f>$F$4-A8</f>
        <v>3366</v>
      </c>
      <c r="G8">
        <f>G$4-$A8</f>
        <v>3609</v>
      </c>
      <c r="H8" s="48">
        <f>H$4-$A8</f>
        <v>3557</v>
      </c>
      <c r="I8">
        <f>I$4-$A8</f>
        <v>3555</v>
      </c>
      <c r="J8">
        <f>J$4-$A8</f>
        <v>5105</v>
      </c>
      <c r="K8">
        <f>K$4-$A8</f>
        <v>3736</v>
      </c>
    </row>
    <row r="9" spans="1:11" ht="12.75">
      <c r="A9">
        <f>130+105+90+70+65</f>
        <v>460</v>
      </c>
      <c r="B9" t="s">
        <v>336</v>
      </c>
      <c r="C9" t="s">
        <v>400</v>
      </c>
      <c r="D9">
        <v>65</v>
      </c>
      <c r="F9">
        <f>$F$4-A9</f>
        <v>3301</v>
      </c>
      <c r="G9">
        <f>G$4-$A9</f>
        <v>3544</v>
      </c>
      <c r="H9" s="48">
        <f>H$4-$A9</f>
        <v>3492</v>
      </c>
      <c r="I9">
        <f>I$4-$A9</f>
        <v>3490</v>
      </c>
      <c r="J9">
        <f>J$4-$A9</f>
        <v>5040</v>
      </c>
      <c r="K9">
        <f>K$4-$A9</f>
        <v>3671</v>
      </c>
    </row>
    <row r="10" spans="1:11" ht="12.75">
      <c r="A10">
        <f>130+105+90+70+65+162</f>
        <v>622</v>
      </c>
      <c r="B10" t="s">
        <v>337</v>
      </c>
      <c r="C10" t="s">
        <v>401</v>
      </c>
      <c r="D10">
        <v>162</v>
      </c>
      <c r="F10">
        <f>$F$4-A10</f>
        <v>3139</v>
      </c>
      <c r="G10">
        <f>G$4-$A10</f>
        <v>3382</v>
      </c>
      <c r="H10" s="48">
        <f>H$4-$A10</f>
        <v>3330</v>
      </c>
      <c r="I10">
        <f>I$4-$A10</f>
        <v>3328</v>
      </c>
      <c r="J10">
        <f>J$4-$A10</f>
        <v>4878</v>
      </c>
      <c r="K10">
        <f>K$4-$A10</f>
        <v>3509</v>
      </c>
    </row>
    <row r="11" spans="1:11" ht="12.75">
      <c r="A11">
        <f>130+105+90+70+65+162+65</f>
        <v>687</v>
      </c>
      <c r="B11" t="s">
        <v>338</v>
      </c>
      <c r="C11" t="s">
        <v>402</v>
      </c>
      <c r="D11">
        <v>65</v>
      </c>
      <c r="F11">
        <f>$F$4-A11</f>
        <v>3074</v>
      </c>
      <c r="G11">
        <f>G$4-$A11</f>
        <v>3317</v>
      </c>
      <c r="H11" s="48">
        <f>H$4-$A11</f>
        <v>3265</v>
      </c>
      <c r="I11">
        <f>I$4-$A11</f>
        <v>3263</v>
      </c>
      <c r="J11">
        <f>J$4-$A11</f>
        <v>4813</v>
      </c>
      <c r="K11">
        <f>K$4-$A11</f>
        <v>3444</v>
      </c>
    </row>
    <row r="12" spans="1:11" ht="12.75">
      <c r="A12">
        <f>130+105+90+70+65+162+65+187</f>
        <v>874</v>
      </c>
      <c r="B12" t="s">
        <v>339</v>
      </c>
      <c r="C12" t="s">
        <v>403</v>
      </c>
      <c r="D12">
        <v>187</v>
      </c>
      <c r="F12">
        <f>$F$4-A12</f>
        <v>2887</v>
      </c>
      <c r="G12">
        <f>G$4-$A12</f>
        <v>3130</v>
      </c>
      <c r="H12" s="48">
        <f>H$4-$A12</f>
        <v>3078</v>
      </c>
      <c r="I12">
        <f>I$4-$A12</f>
        <v>3076</v>
      </c>
      <c r="J12">
        <f>J$4-$A12</f>
        <v>4626</v>
      </c>
      <c r="K12">
        <f>K$4-$A12</f>
        <v>3257</v>
      </c>
    </row>
    <row r="13" spans="1:11" ht="12.75">
      <c r="A13">
        <f>130+800</f>
        <v>930</v>
      </c>
      <c r="B13" t="s">
        <v>340</v>
      </c>
      <c r="C13" t="s">
        <v>404</v>
      </c>
      <c r="E13">
        <v>930</v>
      </c>
      <c r="F13">
        <f>$F$4-A13</f>
        <v>2831</v>
      </c>
      <c r="G13">
        <f>G$4-$A13</f>
        <v>3074</v>
      </c>
      <c r="H13" s="48">
        <f>H$4-$A13</f>
        <v>3022</v>
      </c>
      <c r="I13">
        <f>I$4-$A13</f>
        <v>3020</v>
      </c>
      <c r="J13">
        <f>J$4-$A13</f>
        <v>4570</v>
      </c>
      <c r="K13">
        <f>K$4-$A13</f>
        <v>3201</v>
      </c>
    </row>
    <row r="14" spans="1:11" ht="12.75">
      <c r="A14">
        <f>687+300</f>
        <v>987</v>
      </c>
      <c r="B14" t="s">
        <v>341</v>
      </c>
      <c r="C14" t="s">
        <v>405</v>
      </c>
      <c r="E14">
        <v>365</v>
      </c>
      <c r="F14">
        <f>$F$4-A14</f>
        <v>2774</v>
      </c>
      <c r="G14">
        <f>G$4-$A14</f>
        <v>3017</v>
      </c>
      <c r="H14" s="48">
        <f>H$4-$A14</f>
        <v>2965</v>
      </c>
      <c r="I14">
        <f>I$4-$A14</f>
        <v>2963</v>
      </c>
      <c r="J14">
        <f>J$4-$A14</f>
        <v>4513</v>
      </c>
      <c r="K14">
        <f>K$4-$A14</f>
        <v>3144</v>
      </c>
    </row>
    <row r="15" spans="1:11" ht="12.75">
      <c r="A15">
        <f>130+912</f>
        <v>1042</v>
      </c>
      <c r="B15" t="s">
        <v>342</v>
      </c>
      <c r="C15" t="s">
        <v>406</v>
      </c>
      <c r="E15">
        <v>912</v>
      </c>
      <c r="F15">
        <f>$F$4-A15</f>
        <v>2719</v>
      </c>
      <c r="G15">
        <f>G$4-$A15</f>
        <v>2962</v>
      </c>
      <c r="H15" s="48">
        <f>H$4-$A15</f>
        <v>2910</v>
      </c>
      <c r="I15">
        <f>I$4-$A15</f>
        <v>2908</v>
      </c>
      <c r="J15">
        <f>J$4-$A15</f>
        <v>4458</v>
      </c>
      <c r="K15">
        <f>K$4-$A15</f>
        <v>3089</v>
      </c>
    </row>
    <row r="16" spans="1:11" ht="12.75">
      <c r="A16">
        <f>130+105+820</f>
        <v>1055</v>
      </c>
      <c r="B16" t="s">
        <v>343</v>
      </c>
      <c r="C16" t="s">
        <v>407</v>
      </c>
      <c r="F16">
        <f>$F$4-A16</f>
        <v>2706</v>
      </c>
      <c r="G16">
        <f>G$4-$A16</f>
        <v>2949</v>
      </c>
      <c r="H16" s="48">
        <f>H$4-$A16</f>
        <v>2897</v>
      </c>
      <c r="I16">
        <f>I$4-$A16</f>
        <v>2895</v>
      </c>
      <c r="J16">
        <f>J$4-$A16</f>
        <v>4445</v>
      </c>
      <c r="K16">
        <f>K$4-$A16</f>
        <v>3076</v>
      </c>
    </row>
    <row r="17" spans="1:11" ht="12.75">
      <c r="A17">
        <f>130+105+90+70+65+162+65+187+182</f>
        <v>1056</v>
      </c>
      <c r="B17" t="s">
        <v>344</v>
      </c>
      <c r="C17" t="s">
        <v>408</v>
      </c>
      <c r="D17">
        <v>182</v>
      </c>
      <c r="F17">
        <f>$F$4-A17</f>
        <v>2705</v>
      </c>
      <c r="G17">
        <f>G$4-$A17</f>
        <v>2948</v>
      </c>
      <c r="H17" s="48">
        <f>H$4-$A17</f>
        <v>2896</v>
      </c>
      <c r="I17">
        <f>I$4-$A17</f>
        <v>2894</v>
      </c>
      <c r="J17">
        <f>J$4-$A17</f>
        <v>4444</v>
      </c>
      <c r="K17">
        <f>K$4-$A17</f>
        <v>3075</v>
      </c>
    </row>
    <row r="18" spans="1:11" ht="12.75">
      <c r="A18">
        <f>325+815</f>
        <v>1140</v>
      </c>
      <c r="B18" t="s">
        <v>345</v>
      </c>
      <c r="C18" t="s">
        <v>409</v>
      </c>
      <c r="E18">
        <v>905</v>
      </c>
      <c r="F18">
        <f>$F$4-A18</f>
        <v>2621</v>
      </c>
      <c r="G18">
        <f>G$4-$A18</f>
        <v>2864</v>
      </c>
      <c r="H18" s="48">
        <f>H$4-$A18</f>
        <v>2812</v>
      </c>
      <c r="I18">
        <f>I$4-$A18</f>
        <v>2810</v>
      </c>
      <c r="J18">
        <f>J$4-$A18</f>
        <v>4360</v>
      </c>
      <c r="K18">
        <f>K$4-$A18</f>
        <v>2991</v>
      </c>
    </row>
    <row r="19" spans="1:11" ht="12.75">
      <c r="A19">
        <f>395+840</f>
        <v>1235</v>
      </c>
      <c r="B19" t="s">
        <v>346</v>
      </c>
      <c r="C19" t="s">
        <v>410</v>
      </c>
      <c r="E19">
        <v>910</v>
      </c>
      <c r="F19">
        <f>$F$4-A19</f>
        <v>2526</v>
      </c>
      <c r="G19">
        <f>G$4-$A19</f>
        <v>2769</v>
      </c>
      <c r="H19" s="48">
        <f>H$4-$A19</f>
        <v>2717</v>
      </c>
      <c r="I19">
        <f>I$4-$A19</f>
        <v>2715</v>
      </c>
      <c r="J19">
        <f>J$4-$A19</f>
        <v>4265</v>
      </c>
      <c r="K19">
        <f>K$4-$A19</f>
        <v>2896</v>
      </c>
    </row>
    <row r="20" spans="1:11" ht="12.75">
      <c r="A20">
        <f>460+830</f>
        <v>1290</v>
      </c>
      <c r="B20" t="s">
        <v>347</v>
      </c>
      <c r="C20" t="s">
        <v>411</v>
      </c>
      <c r="E20">
        <v>895</v>
      </c>
      <c r="F20">
        <f>$F$4-A20</f>
        <v>2471</v>
      </c>
      <c r="G20">
        <f>G$4-$A20</f>
        <v>2714</v>
      </c>
      <c r="H20" s="48">
        <f>H$4-$A20</f>
        <v>2662</v>
      </c>
      <c r="I20">
        <f>I$4-$A20</f>
        <v>2660</v>
      </c>
      <c r="J20">
        <f>J$4-$A20</f>
        <v>4210</v>
      </c>
      <c r="K20">
        <f>K$4-$A20</f>
        <v>2841</v>
      </c>
    </row>
    <row r="21" spans="1:11" ht="12.75">
      <c r="A21">
        <f>622+800</f>
        <v>1422</v>
      </c>
      <c r="B21" t="s">
        <v>348</v>
      </c>
      <c r="C21" t="s">
        <v>412</v>
      </c>
      <c r="E21">
        <v>962</v>
      </c>
      <c r="F21">
        <f>$F$4-A21</f>
        <v>2339</v>
      </c>
      <c r="G21">
        <f>G$4-$A21</f>
        <v>2582</v>
      </c>
      <c r="H21" s="48">
        <f>H$4-$A21</f>
        <v>2530</v>
      </c>
      <c r="I21">
        <f>I$4-$A21</f>
        <v>2528</v>
      </c>
      <c r="J21">
        <f>J$4-$A21</f>
        <v>4078</v>
      </c>
      <c r="K21">
        <f>K$4-$A21</f>
        <v>2709</v>
      </c>
    </row>
    <row r="22" spans="1:11" ht="12.75">
      <c r="A22">
        <f>874+782</f>
        <v>1656</v>
      </c>
      <c r="B22" t="s">
        <v>349</v>
      </c>
      <c r="C22" t="s">
        <v>413</v>
      </c>
      <c r="E22">
        <v>969</v>
      </c>
      <c r="F22">
        <f>$F$4-A22</f>
        <v>2105</v>
      </c>
      <c r="G22">
        <f>G$4-$A22</f>
        <v>2348</v>
      </c>
      <c r="H22" s="48">
        <f>H$4-$A22</f>
        <v>2296</v>
      </c>
      <c r="I22">
        <f>I$4-$A22</f>
        <v>2294</v>
      </c>
      <c r="J22">
        <f>J$4-$A22</f>
        <v>3844</v>
      </c>
      <c r="K22">
        <f>K$4-$A22</f>
        <v>2475</v>
      </c>
    </row>
    <row r="23" spans="1:11" ht="12.75">
      <c r="A23">
        <f>A17+500</f>
        <v>1556</v>
      </c>
      <c r="B23" t="s">
        <v>350</v>
      </c>
      <c r="C23" t="s">
        <v>414</v>
      </c>
      <c r="D23">
        <v>500</v>
      </c>
      <c r="F23">
        <f>$F$4-A23</f>
        <v>2205</v>
      </c>
      <c r="G23">
        <f>G$4-$A23</f>
        <v>2448</v>
      </c>
      <c r="H23" s="48">
        <f>H$4-$A23</f>
        <v>2396</v>
      </c>
      <c r="I23">
        <f>I$4-$A23</f>
        <v>2394</v>
      </c>
      <c r="J23">
        <f>J$4-$A23</f>
        <v>3944</v>
      </c>
      <c r="K23">
        <f>K$4-$A23</f>
        <v>2575</v>
      </c>
    </row>
    <row r="24" spans="1:11" ht="12.75">
      <c r="A24">
        <f>1056+595</f>
        <v>1651</v>
      </c>
      <c r="B24" t="s">
        <v>351</v>
      </c>
      <c r="C24" t="s">
        <v>415</v>
      </c>
      <c r="E24">
        <v>777</v>
      </c>
      <c r="F24">
        <f>$F$4-A24</f>
        <v>2110</v>
      </c>
      <c r="G24">
        <f>G$4-$A24</f>
        <v>2353</v>
      </c>
      <c r="H24" s="48">
        <f>H$4-$A24</f>
        <v>2301</v>
      </c>
      <c r="I24">
        <f>I$4-$A24</f>
        <v>2299</v>
      </c>
      <c r="J24">
        <f>J$4-$A24</f>
        <v>3849</v>
      </c>
      <c r="K24">
        <f>K$4-$A24</f>
        <v>2480</v>
      </c>
    </row>
    <row r="25" spans="1:11" ht="12.75">
      <c r="A25" s="16">
        <f>1056+600-1</f>
        <v>1655</v>
      </c>
      <c r="B25" s="17" t="s">
        <v>23</v>
      </c>
      <c r="C25" s="52" t="s">
        <v>416</v>
      </c>
      <c r="D25" s="16"/>
      <c r="E25" s="16"/>
      <c r="F25" s="16">
        <f>$F$4-A25</f>
        <v>2106</v>
      </c>
      <c r="G25" s="16">
        <f>G$4-$A25</f>
        <v>2349</v>
      </c>
      <c r="H25" s="59">
        <f>H$4-$A25</f>
        <v>2297</v>
      </c>
      <c r="I25" s="16">
        <f>I$4-$A25</f>
        <v>2295</v>
      </c>
      <c r="J25" s="16">
        <f>J$4-$A25</f>
        <v>3845</v>
      </c>
      <c r="K25" s="16">
        <f>K$4-$A25</f>
        <v>2476</v>
      </c>
    </row>
    <row r="26" spans="1:11" ht="12.75">
      <c r="A26">
        <f>A17+500+100+2</f>
        <v>1658</v>
      </c>
      <c r="B26" t="s">
        <v>352</v>
      </c>
      <c r="C26" t="s">
        <v>417</v>
      </c>
      <c r="D26">
        <v>100</v>
      </c>
      <c r="F26">
        <f>$F$4-A26</f>
        <v>2103</v>
      </c>
      <c r="G26">
        <f>G$4-$A26</f>
        <v>2346</v>
      </c>
      <c r="H26" s="48">
        <f>H$4-$A26</f>
        <v>2294</v>
      </c>
      <c r="I26">
        <f>I$4-$A26</f>
        <v>2292</v>
      </c>
      <c r="J26">
        <f>J$4-$A26</f>
        <v>3842</v>
      </c>
      <c r="K26">
        <f>K$4-$A26</f>
        <v>2473</v>
      </c>
    </row>
    <row r="27" spans="1:11" ht="12.75">
      <c r="A27">
        <f>130+105+90+70+65+162+65+187+182+500+100+2+35</f>
        <v>1693</v>
      </c>
      <c r="B27" t="s">
        <v>353</v>
      </c>
      <c r="C27" t="s">
        <v>418</v>
      </c>
      <c r="D27">
        <v>35</v>
      </c>
      <c r="F27">
        <f>$F$4-A27</f>
        <v>2068</v>
      </c>
      <c r="G27">
        <f>G$4-$A27</f>
        <v>2311</v>
      </c>
      <c r="H27" s="48">
        <f>H$4-$A27</f>
        <v>2259</v>
      </c>
      <c r="I27">
        <f>I$4-$A27</f>
        <v>2257</v>
      </c>
      <c r="J27">
        <f>J$4-$A27</f>
        <v>3807</v>
      </c>
      <c r="K27">
        <f>K$4-$A27</f>
        <v>2438</v>
      </c>
    </row>
    <row r="28" spans="1:11" ht="12.75">
      <c r="A28">
        <f>130+105+90+70+65+162+65+187+182+500+100+2+35+30</f>
        <v>1723</v>
      </c>
      <c r="B28" t="s">
        <v>354</v>
      </c>
      <c r="C28" t="s">
        <v>419</v>
      </c>
      <c r="D28">
        <v>30</v>
      </c>
      <c r="F28">
        <f>$F$4-A28</f>
        <v>2038</v>
      </c>
      <c r="G28">
        <f>G$4-$A28</f>
        <v>2281</v>
      </c>
      <c r="H28" s="48">
        <f>H$4-$A28</f>
        <v>2229</v>
      </c>
      <c r="I28">
        <f>I$4-$A28</f>
        <v>2227</v>
      </c>
      <c r="J28">
        <f>J$4-$A28</f>
        <v>3777</v>
      </c>
      <c r="K28">
        <f>K$4-$A28</f>
        <v>2408</v>
      </c>
    </row>
    <row r="29" spans="1:11" ht="12.75">
      <c r="A29">
        <f>130+105+90+70+65+162+65+187+182+500+100+2+35+30+34</f>
        <v>1757</v>
      </c>
      <c r="B29" t="s">
        <v>355</v>
      </c>
      <c r="C29" t="s">
        <v>420</v>
      </c>
      <c r="D29">
        <v>34</v>
      </c>
      <c r="F29">
        <f>$F$4-A29</f>
        <v>2004</v>
      </c>
      <c r="G29">
        <f>G$4-$A29</f>
        <v>2247</v>
      </c>
      <c r="H29" s="48">
        <f>H$4-$A29</f>
        <v>2195</v>
      </c>
      <c r="I29">
        <f>I$4-$A29</f>
        <v>2193</v>
      </c>
      <c r="J29">
        <f>J$4-$A29</f>
        <v>3743</v>
      </c>
      <c r="K29">
        <f>K$4-$A29</f>
        <v>2374</v>
      </c>
    </row>
    <row r="30" spans="1:11" ht="12.75">
      <c r="A30">
        <f>130+105+90+70+65+162+65+187+182+500+100+2+35+30+34+30</f>
        <v>1787</v>
      </c>
      <c r="B30" t="s">
        <v>356</v>
      </c>
      <c r="C30" t="s">
        <v>421</v>
      </c>
      <c r="D30">
        <v>30</v>
      </c>
      <c r="F30">
        <f>$F$4-A30</f>
        <v>1974</v>
      </c>
      <c r="G30">
        <f>G$4-$A30</f>
        <v>2217</v>
      </c>
      <c r="H30" s="48">
        <f>H$4-$A30</f>
        <v>2165</v>
      </c>
      <c r="I30">
        <f>I$4-$A30</f>
        <v>2163</v>
      </c>
      <c r="J30">
        <f>J$4-$A30</f>
        <v>3713</v>
      </c>
      <c r="K30">
        <f>K$4-$A30</f>
        <v>2344</v>
      </c>
    </row>
    <row r="31" spans="1:11" ht="12.75">
      <c r="A31">
        <f>130+105+90+70+65+162+65+187+182+500+100+2+35+30+34+30+32</f>
        <v>1819</v>
      </c>
      <c r="B31" t="s">
        <v>357</v>
      </c>
      <c r="C31" t="s">
        <v>422</v>
      </c>
      <c r="D31">
        <v>32</v>
      </c>
      <c r="F31">
        <f>$F$4-A31</f>
        <v>1942</v>
      </c>
      <c r="G31">
        <f>G$4-$A31</f>
        <v>2185</v>
      </c>
      <c r="H31" s="48">
        <f>H$4-$A31</f>
        <v>2133</v>
      </c>
      <c r="I31">
        <f>I$4-$A31</f>
        <v>2131</v>
      </c>
      <c r="J31">
        <f>J$4-$A31</f>
        <v>3681</v>
      </c>
      <c r="K31">
        <f>K$4-$A31</f>
        <v>2312</v>
      </c>
    </row>
    <row r="32" spans="1:11" ht="12.75">
      <c r="A32">
        <f>130+105+90+70+65+162+65+187+182+500+100+2+35+30+34+30+32+30</f>
        <v>1849</v>
      </c>
      <c r="B32" t="s">
        <v>358</v>
      </c>
      <c r="C32" t="s">
        <v>423</v>
      </c>
      <c r="D32">
        <v>30</v>
      </c>
      <c r="F32">
        <f>$F$4-A32</f>
        <v>1912</v>
      </c>
      <c r="G32">
        <f>G$4-$A32</f>
        <v>2155</v>
      </c>
      <c r="H32" s="48">
        <f>H$4-$A32</f>
        <v>2103</v>
      </c>
      <c r="I32">
        <f>I$4-$A32</f>
        <v>2101</v>
      </c>
      <c r="J32">
        <f>J$4-$A32</f>
        <v>3651</v>
      </c>
      <c r="K32">
        <f>K$4-$A32</f>
        <v>2282</v>
      </c>
    </row>
    <row r="33" spans="1:11" ht="12.75">
      <c r="A33">
        <f>130+105+90+70+65+162+65+187+182+500+100+2+35+30+34+30+32+30+29</f>
        <v>1878</v>
      </c>
      <c r="B33" t="s">
        <v>359</v>
      </c>
      <c r="C33" t="s">
        <v>424</v>
      </c>
      <c r="D33">
        <v>29</v>
      </c>
      <c r="F33">
        <f>$F$4-A33</f>
        <v>1883</v>
      </c>
      <c r="G33">
        <f>G$4-$A33</f>
        <v>2126</v>
      </c>
      <c r="H33" s="48">
        <f>H$4-$A33</f>
        <v>2074</v>
      </c>
      <c r="I33">
        <f>I$4-$A33</f>
        <v>2072</v>
      </c>
      <c r="J33">
        <f>J$4-$A33</f>
        <v>3622</v>
      </c>
      <c r="K33">
        <f>K$4-$A33</f>
        <v>2253</v>
      </c>
    </row>
    <row r="34" spans="1:11" ht="12.75">
      <c r="A34">
        <f>130+105+90+70+65+162+65+187+182+500+100+2+35+30+34+30+32+30+29+70</f>
        <v>1948</v>
      </c>
      <c r="B34" t="s">
        <v>360</v>
      </c>
      <c r="C34" t="s">
        <v>425</v>
      </c>
      <c r="D34">
        <v>70</v>
      </c>
      <c r="F34">
        <f>$F$4-A34</f>
        <v>1813</v>
      </c>
      <c r="G34">
        <f>G$4-$A34</f>
        <v>2056</v>
      </c>
      <c r="H34" s="48">
        <f>H$4-$A34</f>
        <v>2004</v>
      </c>
      <c r="I34">
        <f>I$4-$A34</f>
        <v>2002</v>
      </c>
      <c r="J34">
        <f>J$4-$A34</f>
        <v>3552</v>
      </c>
      <c r="K34">
        <f>K$4-$A34</f>
        <v>2183</v>
      </c>
    </row>
    <row r="35" spans="1:11" ht="12.75">
      <c r="A35">
        <f>1555+100+2+35+30+34+209</f>
        <v>1965</v>
      </c>
      <c r="B35" t="s">
        <v>361</v>
      </c>
      <c r="C35" t="s">
        <v>426</v>
      </c>
      <c r="E35">
        <v>239</v>
      </c>
      <c r="F35">
        <f>$F$4-A35</f>
        <v>1796</v>
      </c>
      <c r="G35">
        <f>G$4-$A35</f>
        <v>2039</v>
      </c>
      <c r="H35" s="48">
        <f>H$4-$A35</f>
        <v>1987</v>
      </c>
      <c r="I35">
        <f>I$4-$A35</f>
        <v>1985</v>
      </c>
      <c r="J35">
        <f>J$4-$A35</f>
        <v>3535</v>
      </c>
      <c r="K35">
        <f>K$4-$A35</f>
        <v>2166</v>
      </c>
    </row>
    <row r="36" spans="1:11" ht="12.75">
      <c r="A36">
        <f>1555+100+2+35+30+34+30+207</f>
        <v>1993</v>
      </c>
      <c r="B36" t="s">
        <v>362</v>
      </c>
      <c r="C36" t="s">
        <v>427</v>
      </c>
      <c r="E36">
        <v>239</v>
      </c>
      <c r="F36">
        <f>$F$4-A36</f>
        <v>1768</v>
      </c>
      <c r="G36">
        <f>G$4-$A36</f>
        <v>2011</v>
      </c>
      <c r="H36" s="48">
        <f>H$4-$A36</f>
        <v>1959</v>
      </c>
      <c r="I36">
        <f>I$4-$A36</f>
        <v>1957</v>
      </c>
      <c r="J36">
        <f>J$4-$A36</f>
        <v>3507</v>
      </c>
      <c r="K36">
        <f>K$4-$A36</f>
        <v>2138</v>
      </c>
    </row>
    <row r="37" spans="1:11" ht="12.75">
      <c r="A37">
        <f>1848+29+119</f>
        <v>1996</v>
      </c>
      <c r="B37" t="s">
        <v>363</v>
      </c>
      <c r="C37" t="s">
        <v>428</v>
      </c>
      <c r="E37">
        <f>29+119</f>
        <v>148</v>
      </c>
      <c r="F37">
        <f>$F$4-A37</f>
        <v>1765</v>
      </c>
      <c r="G37">
        <f>G$4-$A37</f>
        <v>2008</v>
      </c>
      <c r="H37" s="48">
        <f>H$4-$A37</f>
        <v>1956</v>
      </c>
      <c r="I37">
        <f>I$4-$A37</f>
        <v>1954</v>
      </c>
      <c r="J37">
        <f>J$4-$A37</f>
        <v>3504</v>
      </c>
      <c r="K37">
        <f>K$4-$A37</f>
        <v>2135</v>
      </c>
    </row>
    <row r="38" spans="1:11" ht="12.75">
      <c r="A38">
        <f>1656+350</f>
        <v>2006</v>
      </c>
      <c r="B38" t="s">
        <v>364</v>
      </c>
      <c r="C38" t="s">
        <v>429</v>
      </c>
      <c r="E38">
        <v>950</v>
      </c>
      <c r="F38">
        <f>$F$4-A38</f>
        <v>1755</v>
      </c>
      <c r="G38">
        <f>G$4-$A38</f>
        <v>1998</v>
      </c>
      <c r="H38" s="48">
        <f>H$4-$A38</f>
        <v>1946</v>
      </c>
      <c r="I38">
        <f>I$4-$A38</f>
        <v>1944</v>
      </c>
      <c r="J38">
        <f>J$4-$A38</f>
        <v>3494</v>
      </c>
      <c r="K38">
        <f>K$4-$A38</f>
        <v>2125</v>
      </c>
    </row>
    <row r="39" spans="1:11" ht="12.75">
      <c r="A39">
        <f>1948+70</f>
        <v>2018</v>
      </c>
      <c r="B39" t="s">
        <v>266</v>
      </c>
      <c r="C39" t="s">
        <v>430</v>
      </c>
      <c r="F39">
        <f>$F$4-A39</f>
        <v>1743</v>
      </c>
      <c r="G39">
        <f>G$4-$A39</f>
        <v>1986</v>
      </c>
      <c r="H39" s="48">
        <f>H$4-$A39</f>
        <v>1934</v>
      </c>
      <c r="I39">
        <f>I$4-$A39</f>
        <v>1932</v>
      </c>
      <c r="J39">
        <f>J$4-$A39</f>
        <v>3482</v>
      </c>
      <c r="K39">
        <f>K$4-$A39</f>
        <v>2113</v>
      </c>
    </row>
    <row r="40" spans="1:11" ht="12.75">
      <c r="A40">
        <f>1947+86</f>
        <v>2033</v>
      </c>
      <c r="B40" t="s">
        <v>365</v>
      </c>
      <c r="C40" t="s">
        <v>431</v>
      </c>
      <c r="D40">
        <v>86</v>
      </c>
      <c r="F40">
        <f>$F$4-A40</f>
        <v>1728</v>
      </c>
      <c r="G40">
        <f>G$4-$A40</f>
        <v>1971</v>
      </c>
      <c r="H40" s="48">
        <f>H$4-$A40</f>
        <v>1919</v>
      </c>
      <c r="I40">
        <f>I$4-$A40</f>
        <v>1917</v>
      </c>
      <c r="J40">
        <f>J$4-$A40</f>
        <v>3467</v>
      </c>
      <c r="K40">
        <f>K$4-$A40</f>
        <v>2098</v>
      </c>
    </row>
    <row r="41" spans="1:11" ht="12.75">
      <c r="A41">
        <f>1947+100</f>
        <v>2047</v>
      </c>
      <c r="B41" t="s">
        <v>366</v>
      </c>
      <c r="C41" t="s">
        <v>432</v>
      </c>
      <c r="D41">
        <v>100</v>
      </c>
      <c r="F41">
        <f>$F$4-A41</f>
        <v>1714</v>
      </c>
      <c r="G41">
        <f>G$4-$A41</f>
        <v>1957</v>
      </c>
      <c r="H41" s="48">
        <f>H$4-$A41</f>
        <v>1905</v>
      </c>
      <c r="I41">
        <f>I$4-$A41</f>
        <v>1903</v>
      </c>
      <c r="J41">
        <f>J$4-$A41</f>
        <v>3453</v>
      </c>
      <c r="K41">
        <f>K$4-$A41</f>
        <v>2084</v>
      </c>
    </row>
    <row r="42" spans="1:11" ht="12.75">
      <c r="A42">
        <f>1818+30+200</f>
        <v>2048</v>
      </c>
      <c r="B42" t="s">
        <v>367</v>
      </c>
      <c r="C42" t="s">
        <v>433</v>
      </c>
      <c r="E42">
        <v>230</v>
      </c>
      <c r="F42" s="31">
        <f>$F$4-A42</f>
        <v>1713</v>
      </c>
      <c r="G42">
        <f>G$4-$A42</f>
        <v>1956</v>
      </c>
      <c r="H42" s="48">
        <f>H$4-$A42</f>
        <v>1904</v>
      </c>
      <c r="I42">
        <f>I$4-$A42</f>
        <v>1902</v>
      </c>
      <c r="J42">
        <f>J$4-$A42</f>
        <v>3452</v>
      </c>
      <c r="K42">
        <f>K$4-$A42</f>
        <v>2083</v>
      </c>
    </row>
    <row r="43" spans="1:11" ht="12.75">
      <c r="A43">
        <f>2218-155</f>
        <v>2063</v>
      </c>
      <c r="B43" t="s">
        <v>368</v>
      </c>
      <c r="C43" t="s">
        <v>434</v>
      </c>
      <c r="F43" s="13">
        <f>$F$4-A43</f>
        <v>1698</v>
      </c>
      <c r="G43">
        <f>G$4-$A43</f>
        <v>1941</v>
      </c>
      <c r="H43" s="48">
        <f>H$4-$A43</f>
        <v>1889</v>
      </c>
      <c r="I43">
        <f>I$4-$A43</f>
        <v>1887</v>
      </c>
      <c r="J43">
        <f>J$4-$A43</f>
        <v>3437</v>
      </c>
      <c r="K43">
        <f>K$4-$A43</f>
        <v>2068</v>
      </c>
    </row>
    <row r="44" spans="1:11" ht="38.25">
      <c r="A44">
        <f>2033+40</f>
        <v>2073</v>
      </c>
      <c r="B44" t="s">
        <v>369</v>
      </c>
      <c r="C44" s="15" t="s">
        <v>435</v>
      </c>
      <c r="D44" s="15"/>
      <c r="F44" s="13">
        <f>$F$4-A44</f>
        <v>1688</v>
      </c>
      <c r="G44">
        <f>G$4-$A44</f>
        <v>1931</v>
      </c>
      <c r="H44" s="48">
        <f>H$4-$A44</f>
        <v>1879</v>
      </c>
      <c r="I44">
        <f>I$4-$A44</f>
        <v>1877</v>
      </c>
      <c r="J44">
        <f>J$4-$A44</f>
        <v>3427</v>
      </c>
      <c r="K44">
        <f>K$4-$A44</f>
        <v>2058</v>
      </c>
    </row>
    <row r="45" spans="1:11" ht="12.75">
      <c r="A45">
        <f>2033+41</f>
        <v>2074</v>
      </c>
      <c r="B45" t="s">
        <v>370</v>
      </c>
      <c r="C45" t="s">
        <v>436</v>
      </c>
      <c r="F45" s="13">
        <f>$F$4-A45</f>
        <v>1687</v>
      </c>
      <c r="G45">
        <f>G$4-$A45</f>
        <v>1930</v>
      </c>
      <c r="H45" s="48">
        <f>H$4-$A45</f>
        <v>1878</v>
      </c>
      <c r="I45">
        <f>I$4-$A45</f>
        <v>1876</v>
      </c>
      <c r="J45">
        <f>J$4-$A45</f>
        <v>3426</v>
      </c>
      <c r="K45">
        <f>K$4-$A45</f>
        <v>2057</v>
      </c>
    </row>
    <row r="46" spans="1:11" ht="12.75">
      <c r="A46">
        <f>2033+43</f>
        <v>2076</v>
      </c>
      <c r="B46" t="s">
        <v>371</v>
      </c>
      <c r="C46" t="s">
        <v>437</v>
      </c>
      <c r="F46" s="13">
        <f>$F$4-A46</f>
        <v>1685</v>
      </c>
      <c r="G46">
        <f>G$4-$A46</f>
        <v>1928</v>
      </c>
      <c r="H46" s="48">
        <f>H$4-$A46</f>
        <v>1876</v>
      </c>
      <c r="I46">
        <f>I$4-$A46</f>
        <v>1874</v>
      </c>
      <c r="J46">
        <f>J$4-$A46</f>
        <v>3424</v>
      </c>
      <c r="K46">
        <f>K$4-$A46</f>
        <v>2055</v>
      </c>
    </row>
    <row r="47" spans="1:11" ht="12.75">
      <c r="A47">
        <f>2033+44</f>
        <v>2077</v>
      </c>
      <c r="B47" t="s">
        <v>372</v>
      </c>
      <c r="C47" t="s">
        <v>438</v>
      </c>
      <c r="F47" s="13">
        <f>$F$4-A47</f>
        <v>1684</v>
      </c>
      <c r="G47">
        <f>G$4-$A47</f>
        <v>1927</v>
      </c>
      <c r="H47" s="48">
        <f>H$4-$A47</f>
        <v>1875</v>
      </c>
      <c r="I47">
        <f>I$4-$A47</f>
        <v>1873</v>
      </c>
      <c r="J47">
        <f>J$4-$A47</f>
        <v>3423</v>
      </c>
      <c r="K47">
        <f>K$4-$A47</f>
        <v>2054</v>
      </c>
    </row>
    <row r="48" spans="1:11" ht="12.75">
      <c r="A48">
        <f>2033+45</f>
        <v>2078</v>
      </c>
      <c r="B48" t="s">
        <v>373</v>
      </c>
      <c r="C48" t="s">
        <v>439</v>
      </c>
      <c r="F48" s="13">
        <f>$F$4-A48</f>
        <v>1683</v>
      </c>
      <c r="G48">
        <f>G$4-$A48</f>
        <v>1926</v>
      </c>
      <c r="H48" s="48">
        <f>H$4-$A48</f>
        <v>1874</v>
      </c>
      <c r="I48">
        <f>I$4-$A48</f>
        <v>1872</v>
      </c>
      <c r="J48">
        <f>J$4-$A48</f>
        <v>3422</v>
      </c>
      <c r="K48">
        <f>K$4-$A48</f>
        <v>2053</v>
      </c>
    </row>
    <row r="49" spans="1:11" ht="12.75">
      <c r="A49">
        <f>2033+46</f>
        <v>2079</v>
      </c>
      <c r="B49" t="s">
        <v>374</v>
      </c>
      <c r="C49" t="s">
        <v>440</v>
      </c>
      <c r="F49" s="13">
        <f>$F$4-A49</f>
        <v>1682</v>
      </c>
      <c r="G49">
        <f>G$4-$A49</f>
        <v>1925</v>
      </c>
      <c r="H49" s="48">
        <f>H$4-$A49</f>
        <v>1873</v>
      </c>
      <c r="I49">
        <f>I$4-$A49</f>
        <v>1871</v>
      </c>
      <c r="J49">
        <f>J$4-$A49</f>
        <v>3421</v>
      </c>
      <c r="K49">
        <f>K$4-$A49</f>
        <v>2052</v>
      </c>
    </row>
    <row r="50" spans="1:11" ht="12.75">
      <c r="A50">
        <f>2033+47</f>
        <v>2080</v>
      </c>
      <c r="B50" t="s">
        <v>375</v>
      </c>
      <c r="C50" t="s">
        <v>441</v>
      </c>
      <c r="F50" s="13">
        <f>$F$4-A50</f>
        <v>1681</v>
      </c>
      <c r="G50">
        <f>G$4-$A50</f>
        <v>1924</v>
      </c>
      <c r="H50" s="48">
        <f>H$4-$A50</f>
        <v>1872</v>
      </c>
      <c r="I50">
        <f>I$4-$A50</f>
        <v>1870</v>
      </c>
      <c r="J50">
        <f>J$4-$A50</f>
        <v>3420</v>
      </c>
      <c r="K50">
        <f>K$4-$A50</f>
        <v>2051</v>
      </c>
    </row>
    <row r="51" spans="1:11" ht="30.75" customHeight="1">
      <c r="A51">
        <f>2033+48</f>
        <v>2081</v>
      </c>
      <c r="B51" t="s">
        <v>376</v>
      </c>
      <c r="C51" t="s">
        <v>442</v>
      </c>
      <c r="F51" s="13">
        <f>$F$4-A51</f>
        <v>1680</v>
      </c>
      <c r="G51">
        <f>G$4-$A51</f>
        <v>1923</v>
      </c>
      <c r="H51" s="48">
        <f>H$4-$A51</f>
        <v>1871</v>
      </c>
      <c r="I51">
        <f>I$4-$A51</f>
        <v>1869</v>
      </c>
      <c r="J51">
        <f>J$4-$A51</f>
        <v>3419</v>
      </c>
      <c r="K51">
        <f>K$4-$A51</f>
        <v>2050</v>
      </c>
    </row>
    <row r="52" spans="1:11" ht="12.75">
      <c r="A52">
        <f>1877+70+135</f>
        <v>2082</v>
      </c>
      <c r="B52" t="s">
        <v>377</v>
      </c>
      <c r="C52" t="s">
        <v>443</v>
      </c>
      <c r="E52">
        <f>70+135</f>
        <v>205</v>
      </c>
      <c r="F52" s="13">
        <f>$F$4-A52</f>
        <v>1679</v>
      </c>
      <c r="G52">
        <f>G$4-$A52</f>
        <v>1922</v>
      </c>
      <c r="H52" s="48">
        <f>H$4-$A52</f>
        <v>1870</v>
      </c>
      <c r="I52">
        <f>I$4-$A52</f>
        <v>1868</v>
      </c>
      <c r="J52">
        <f>J$4-$A52</f>
        <v>3418</v>
      </c>
      <c r="K52">
        <f>K$4-$A52</f>
        <v>2049</v>
      </c>
    </row>
    <row r="53" spans="1:11" ht="12.75">
      <c r="A53">
        <f>2033+49</f>
        <v>2082</v>
      </c>
      <c r="B53" t="s">
        <v>378</v>
      </c>
      <c r="C53" t="s">
        <v>444</v>
      </c>
      <c r="F53" s="13">
        <f>$F$4-A53</f>
        <v>1679</v>
      </c>
      <c r="G53">
        <f>G$4-$A53</f>
        <v>1922</v>
      </c>
      <c r="H53" s="48">
        <f>H$4-$A53</f>
        <v>1870</v>
      </c>
      <c r="I53">
        <f>I$4-$A53</f>
        <v>1868</v>
      </c>
      <c r="J53">
        <f>J$4-$A53</f>
        <v>3418</v>
      </c>
      <c r="K53">
        <f>K$4-$A53</f>
        <v>2049</v>
      </c>
    </row>
    <row r="54" spans="1:11" ht="12.75">
      <c r="A54">
        <f>2033+50</f>
        <v>2083</v>
      </c>
      <c r="B54" t="s">
        <v>379</v>
      </c>
      <c r="C54" t="s">
        <v>445</v>
      </c>
      <c r="F54" s="13">
        <f>$F$4-A54</f>
        <v>1678</v>
      </c>
      <c r="G54">
        <f>G$4-$A54</f>
        <v>1921</v>
      </c>
      <c r="H54" s="48">
        <f>H$4-$A54</f>
        <v>1869</v>
      </c>
      <c r="I54">
        <f>I$4-$A54</f>
        <v>1867</v>
      </c>
      <c r="J54">
        <f>J$4-$A54</f>
        <v>3417</v>
      </c>
      <c r="K54">
        <f>K$4-$A54</f>
        <v>2048</v>
      </c>
    </row>
    <row r="55" spans="1:11" ht="12.75">
      <c r="A55">
        <f>2033+51</f>
        <v>2084</v>
      </c>
      <c r="B55" t="s">
        <v>380</v>
      </c>
      <c r="C55" t="s">
        <v>446</v>
      </c>
      <c r="F55" s="13">
        <f>$F$4-A55</f>
        <v>1677</v>
      </c>
      <c r="G55">
        <f>G$4-$A55</f>
        <v>1920</v>
      </c>
      <c r="H55" s="48">
        <f>H$4-$A55</f>
        <v>1868</v>
      </c>
      <c r="I55">
        <f>I$4-$A55</f>
        <v>1866</v>
      </c>
      <c r="J55">
        <f>J$4-$A55</f>
        <v>3416</v>
      </c>
      <c r="K55">
        <f>K$4-$A55</f>
        <v>2047</v>
      </c>
    </row>
    <row r="56" spans="1:11" ht="25.5">
      <c r="A56" s="15">
        <f>1958+127</f>
        <v>2085</v>
      </c>
      <c r="B56" s="15" t="s">
        <v>381</v>
      </c>
      <c r="C56" s="15" t="s">
        <v>447</v>
      </c>
      <c r="D56" s="15"/>
      <c r="E56">
        <v>127</v>
      </c>
      <c r="F56" s="13">
        <f>$F$4-A56</f>
        <v>1676</v>
      </c>
      <c r="G56">
        <f>G$4-$A56</f>
        <v>1919</v>
      </c>
      <c r="H56" s="48">
        <f>H$4-$A56</f>
        <v>1867</v>
      </c>
      <c r="I56">
        <f>I$4-$A56</f>
        <v>1865</v>
      </c>
      <c r="J56">
        <f>J$4-$A56</f>
        <v>3415</v>
      </c>
      <c r="K56">
        <f>K$4-$A56</f>
        <v>2046</v>
      </c>
    </row>
    <row r="57" spans="1:11" ht="12.75">
      <c r="A57">
        <f>2033+52</f>
        <v>2085</v>
      </c>
      <c r="B57" t="s">
        <v>382</v>
      </c>
      <c r="C57" t="s">
        <v>448</v>
      </c>
      <c r="F57" s="13">
        <f>$F$4-A57</f>
        <v>1676</v>
      </c>
      <c r="G57">
        <f>G$4-$A57</f>
        <v>1919</v>
      </c>
      <c r="H57" s="48">
        <f>H$4-$A57</f>
        <v>1867</v>
      </c>
      <c r="I57">
        <f>I$4-$A57</f>
        <v>1865</v>
      </c>
      <c r="J57">
        <f>J$4-$A57</f>
        <v>3415</v>
      </c>
      <c r="K57">
        <f>K$4-$A57</f>
        <v>2046</v>
      </c>
    </row>
    <row r="58" spans="1:11" ht="63.75">
      <c r="A58" s="15">
        <v>2087</v>
      </c>
      <c r="B58" s="15" t="s">
        <v>383</v>
      </c>
      <c r="C58" s="15" t="s">
        <v>449</v>
      </c>
      <c r="D58" s="15"/>
      <c r="F58" s="13">
        <f>$F$4-A58</f>
        <v>1674</v>
      </c>
      <c r="G58">
        <f>G$4-$A58</f>
        <v>1917</v>
      </c>
      <c r="H58" s="48">
        <f>H$4-$A58</f>
        <v>1865</v>
      </c>
      <c r="I58">
        <f>I$4-$A58</f>
        <v>1863</v>
      </c>
      <c r="J58">
        <f>J$4-$A58</f>
        <v>3413</v>
      </c>
      <c r="K58">
        <f>K$4-$A58</f>
        <v>2044</v>
      </c>
    </row>
    <row r="59" spans="1:11" ht="38.25">
      <c r="A59">
        <f>1947+100+40</f>
        <v>2087</v>
      </c>
      <c r="B59" t="s">
        <v>384</v>
      </c>
      <c r="C59" s="15" t="s">
        <v>450</v>
      </c>
      <c r="D59" s="15"/>
      <c r="F59" s="13">
        <f>$F$4-A59</f>
        <v>1674</v>
      </c>
      <c r="G59">
        <f>G$4-$A59</f>
        <v>1917</v>
      </c>
      <c r="H59" s="48">
        <f>H$4-$A59</f>
        <v>1865</v>
      </c>
      <c r="I59">
        <f>I$4-$A59</f>
        <v>1863</v>
      </c>
      <c r="J59">
        <f>J$4-$A59</f>
        <v>3413</v>
      </c>
      <c r="K59">
        <f>K$4-$A59</f>
        <v>2044</v>
      </c>
    </row>
    <row r="60" spans="1:11" ht="12.75">
      <c r="A60">
        <f>1657+35+403</f>
        <v>2095</v>
      </c>
      <c r="B60" t="s">
        <v>385</v>
      </c>
      <c r="C60" t="s">
        <v>451</v>
      </c>
      <c r="E60">
        <v>438</v>
      </c>
      <c r="F60" s="13">
        <f>$F$4-A60</f>
        <v>1666</v>
      </c>
      <c r="G60">
        <f>G$4-$A60</f>
        <v>1909</v>
      </c>
      <c r="H60" s="48">
        <f>H$4-$A60</f>
        <v>1857</v>
      </c>
      <c r="I60">
        <f>I$4-$A60</f>
        <v>1855</v>
      </c>
      <c r="J60">
        <f>J$4-$A60</f>
        <v>3405</v>
      </c>
      <c r="K60">
        <f>K$4-$A60</f>
        <v>2036</v>
      </c>
    </row>
    <row r="61" spans="1:11" ht="12.75">
      <c r="A61">
        <f>130+105+90+70+65+162+65+187+182+500+100+2+35+30+34+30+32+30+29+70+100+40+20</f>
        <v>2108</v>
      </c>
      <c r="B61" t="s">
        <v>386</v>
      </c>
      <c r="C61" t="s">
        <v>452</v>
      </c>
      <c r="D61">
        <v>60</v>
      </c>
      <c r="F61" s="13">
        <f>$F$4-A61</f>
        <v>1653</v>
      </c>
      <c r="G61">
        <f>G$4-$A61</f>
        <v>1896</v>
      </c>
      <c r="H61" s="48">
        <f>H$4-$A61</f>
        <v>1844</v>
      </c>
      <c r="I61">
        <f>I$4-$A61</f>
        <v>1842</v>
      </c>
      <c r="J61">
        <f>J$4-$A61</f>
        <v>3392</v>
      </c>
      <c r="K61">
        <f>K$4-$A61</f>
        <v>2023</v>
      </c>
    </row>
    <row r="62" spans="1:11" ht="12.75">
      <c r="A62">
        <f>130+105+90+70+65+162+65+187+182+500+100+2+35+30+34+30+32+30+29+70+175</f>
        <v>2123</v>
      </c>
      <c r="B62" t="s">
        <v>387</v>
      </c>
      <c r="C62" t="s">
        <v>453</v>
      </c>
      <c r="E62">
        <v>175</v>
      </c>
      <c r="F62" s="13">
        <f>$F$4-A62</f>
        <v>1638</v>
      </c>
      <c r="G62">
        <f>G$4-$A62</f>
        <v>1881</v>
      </c>
      <c r="H62" s="48">
        <f>H$4-$A62</f>
        <v>1829</v>
      </c>
      <c r="I62">
        <f>I$4-$A62</f>
        <v>1827</v>
      </c>
      <c r="J62">
        <f>J$4-$A62</f>
        <v>3377</v>
      </c>
      <c r="K62">
        <f>K$4-$A62</f>
        <v>2008</v>
      </c>
    </row>
    <row r="63" spans="1:11" ht="12.75">
      <c r="A63">
        <f>1692+30+403</f>
        <v>2125</v>
      </c>
      <c r="B63" t="s">
        <v>388</v>
      </c>
      <c r="C63" t="s">
        <v>454</v>
      </c>
      <c r="E63">
        <v>433</v>
      </c>
      <c r="F63" s="13">
        <f>$F$4-A63</f>
        <v>1636</v>
      </c>
      <c r="G63">
        <f>G$4-$A63</f>
        <v>1879</v>
      </c>
      <c r="H63" s="48">
        <f>H$4-$A63</f>
        <v>1827</v>
      </c>
      <c r="I63">
        <f>I$4-$A63</f>
        <v>1825</v>
      </c>
      <c r="J63">
        <f>J$4-$A63</f>
        <v>3375</v>
      </c>
      <c r="K63">
        <f>K$4-$A63</f>
        <v>2006</v>
      </c>
    </row>
    <row r="64" spans="1:11" ht="12.75">
      <c r="A64">
        <f>2122+7</f>
        <v>2129</v>
      </c>
      <c r="B64" t="s">
        <v>389</v>
      </c>
      <c r="C64" s="2" t="s">
        <v>47</v>
      </c>
      <c r="F64" s="13">
        <f>$F$4-A64</f>
        <v>1632</v>
      </c>
      <c r="G64">
        <f>G$4-$A64</f>
        <v>1875</v>
      </c>
      <c r="H64" s="48">
        <f>H$4-$A64</f>
        <v>1823</v>
      </c>
      <c r="I64">
        <f>I$4-$A64</f>
        <v>1821</v>
      </c>
      <c r="J64">
        <f>J$4-$A64</f>
        <v>3371</v>
      </c>
      <c r="K64">
        <f>K$4-$A64</f>
        <v>2002</v>
      </c>
    </row>
    <row r="65" spans="1:11" ht="13.5">
      <c r="A65">
        <f>1947+100+40+20+40</f>
        <v>2147</v>
      </c>
      <c r="B65" t="s">
        <v>390</v>
      </c>
      <c r="C65" t="s">
        <v>48</v>
      </c>
      <c r="D65">
        <v>40</v>
      </c>
      <c r="F65" s="13">
        <f>$F$4-A65</f>
        <v>1614</v>
      </c>
      <c r="G65">
        <f>G$4-$A65</f>
        <v>1857</v>
      </c>
      <c r="H65" s="48">
        <f>H$4-$A65</f>
        <v>1805</v>
      </c>
      <c r="I65">
        <f>I$4-$A65</f>
        <v>1803</v>
      </c>
      <c r="J65">
        <f>J$4-$A65</f>
        <v>3353</v>
      </c>
      <c r="K65">
        <f>K$4-$A65</f>
        <v>1984</v>
      </c>
    </row>
    <row r="66" spans="1:11" ht="13.5">
      <c r="A66">
        <f>1657+500</f>
        <v>2157</v>
      </c>
      <c r="B66" t="s">
        <v>391</v>
      </c>
      <c r="C66" t="s">
        <v>455</v>
      </c>
      <c r="E66">
        <v>600</v>
      </c>
      <c r="F66" s="13">
        <f>$F$4-A66</f>
        <v>1604</v>
      </c>
      <c r="G66">
        <f>G$4-$A66</f>
        <v>1847</v>
      </c>
      <c r="H66" s="48">
        <f>H$4-$A66</f>
        <v>1795</v>
      </c>
      <c r="I66">
        <f>I$4-$A66</f>
        <v>1793</v>
      </c>
      <c r="J66">
        <f>J$4-$A66</f>
        <v>3343</v>
      </c>
      <c r="K66">
        <f>K$4-$A66</f>
        <v>1974</v>
      </c>
    </row>
    <row r="67" spans="1:11" ht="13.5">
      <c r="A67">
        <f>2033+137</f>
        <v>2170</v>
      </c>
      <c r="B67" t="s">
        <v>392</v>
      </c>
      <c r="C67" t="s">
        <v>456</v>
      </c>
      <c r="E67">
        <v>137</v>
      </c>
      <c r="F67" s="13">
        <f>$F$4-A67</f>
        <v>1591</v>
      </c>
      <c r="G67">
        <f>G$4-$A67</f>
        <v>1834</v>
      </c>
      <c r="H67" s="48">
        <f>H$4-$A67</f>
        <v>1782</v>
      </c>
      <c r="I67">
        <f>I$4-$A67</f>
        <v>1780</v>
      </c>
      <c r="J67">
        <f>J$4-$A67</f>
        <v>3330</v>
      </c>
      <c r="K67">
        <f>K$4-$A67</f>
        <v>1961</v>
      </c>
    </row>
    <row r="68" spans="1:11" ht="13.5">
      <c r="A68">
        <f>130+105+90+70+65+162+65+187+182+500+100+2+35+30+34+30+32+30+29+70+100+40+20+D68</f>
        <v>2176</v>
      </c>
      <c r="B68" t="s">
        <v>52</v>
      </c>
      <c r="C68" t="s">
        <v>85</v>
      </c>
      <c r="D68">
        <v>68</v>
      </c>
      <c r="F68" s="13">
        <f>$F$4-A68</f>
        <v>1585</v>
      </c>
      <c r="G68">
        <f>G$4-$A68</f>
        <v>1828</v>
      </c>
      <c r="H68" s="48">
        <f>H$4-$A68</f>
        <v>1776</v>
      </c>
      <c r="I68">
        <f>I$4-$A68</f>
        <v>1774</v>
      </c>
      <c r="J68">
        <f>J$4-$A68</f>
        <v>3324</v>
      </c>
      <c r="K68">
        <f>K$4-$A68</f>
        <v>1955</v>
      </c>
    </row>
    <row r="69" spans="1:11" ht="13.5">
      <c r="A69">
        <f>130+105+90+70+65+162+65+187+182+500+100+2+35+30+34+30+32+30+29+70+100+40+20+D69</f>
        <v>2183</v>
      </c>
      <c r="B69" t="s">
        <v>52</v>
      </c>
      <c r="C69" t="s">
        <v>86</v>
      </c>
      <c r="D69">
        <v>75</v>
      </c>
      <c r="F69" s="13">
        <f>$F$4-A69</f>
        <v>1578</v>
      </c>
      <c r="G69">
        <f>G$4-$A69</f>
        <v>1821</v>
      </c>
      <c r="H69" s="48">
        <f>H$4-$A69</f>
        <v>1769</v>
      </c>
      <c r="I69">
        <f>I$4-$A69</f>
        <v>1767</v>
      </c>
      <c r="J69">
        <f>J$4-$A69</f>
        <v>3317</v>
      </c>
      <c r="K69">
        <f>K$4-$A69</f>
        <v>1948</v>
      </c>
    </row>
    <row r="70" spans="1:11" ht="13.5">
      <c r="A70">
        <f>130+105+90+70+65+162+65+187+182+500+100+2+35+30+34+30+32+30+29+70+100+40+20+75</f>
        <v>2183</v>
      </c>
      <c r="B70" t="s">
        <v>53</v>
      </c>
      <c r="C70" s="2" t="s">
        <v>87</v>
      </c>
      <c r="D70">
        <v>75</v>
      </c>
      <c r="F70" s="13">
        <f>$F$4-A70</f>
        <v>1578</v>
      </c>
      <c r="G70">
        <f>G$4-$A70</f>
        <v>1821</v>
      </c>
      <c r="H70" s="48">
        <f>H$4-$A70</f>
        <v>1769</v>
      </c>
      <c r="I70">
        <f>I$4-$A70</f>
        <v>1767</v>
      </c>
      <c r="J70">
        <f>J$4-$A70</f>
        <v>3317</v>
      </c>
      <c r="K70">
        <f>K$4-$A70</f>
        <v>1948</v>
      </c>
    </row>
    <row r="71" spans="1:11" ht="13.5">
      <c r="A71">
        <f>130+105+90+70+65+162+65+187+182+500+100+2+35+30+34+30+32+30+29+70+100+40+20+D71</f>
        <v>2185</v>
      </c>
      <c r="B71" t="s">
        <v>54</v>
      </c>
      <c r="C71" s="2" t="s">
        <v>88</v>
      </c>
      <c r="D71">
        <v>77</v>
      </c>
      <c r="F71" s="13">
        <f>$F$4-A71</f>
        <v>1576</v>
      </c>
      <c r="G71">
        <f>G$4-$A71</f>
        <v>1819</v>
      </c>
      <c r="H71" s="48">
        <f>H$4-$A71</f>
        <v>1767</v>
      </c>
      <c r="I71">
        <f>I$4-$A71</f>
        <v>1765</v>
      </c>
      <c r="J71">
        <f>J$4-$A71</f>
        <v>3315</v>
      </c>
      <c r="K71">
        <f>K$4-$A71</f>
        <v>1946</v>
      </c>
    </row>
    <row r="72" spans="1:11" ht="13.5">
      <c r="A72">
        <f>1722+34+430</f>
        <v>2186</v>
      </c>
      <c r="B72" t="s">
        <v>55</v>
      </c>
      <c r="C72" t="s">
        <v>89</v>
      </c>
      <c r="E72">
        <v>464</v>
      </c>
      <c r="F72" s="13">
        <f>$F$4-A72</f>
        <v>1575</v>
      </c>
      <c r="G72">
        <f>G$4-$A72</f>
        <v>1818</v>
      </c>
      <c r="H72" s="48">
        <f>H$4-$A72</f>
        <v>1766</v>
      </c>
      <c r="I72">
        <f>I$4-$A72</f>
        <v>1764</v>
      </c>
      <c r="J72">
        <f>J$4-$A72</f>
        <v>3314</v>
      </c>
      <c r="K72">
        <f>K$4-$A72</f>
        <v>1945</v>
      </c>
    </row>
    <row r="73" spans="1:11" ht="13.5">
      <c r="A73">
        <f>130+105+90+70+65+162+65+187+182+500+100+2+35+30+34+30+32+30+29+70+100+40+20+D73</f>
        <v>2188</v>
      </c>
      <c r="B73" t="s">
        <v>56</v>
      </c>
      <c r="C73" s="2" t="s">
        <v>90</v>
      </c>
      <c r="D73">
        <v>80</v>
      </c>
      <c r="F73" s="13">
        <f>$F$4-A73</f>
        <v>1573</v>
      </c>
      <c r="G73">
        <f>G$4-$A73</f>
        <v>1816</v>
      </c>
      <c r="H73" s="48">
        <f>H$4-$A73</f>
        <v>1764</v>
      </c>
      <c r="I73">
        <f>I$4-$A73</f>
        <v>1762</v>
      </c>
      <c r="J73">
        <f>J$4-$A73</f>
        <v>3312</v>
      </c>
      <c r="K73">
        <f>K$4-$A73</f>
        <v>1943</v>
      </c>
    </row>
    <row r="74" spans="1:11" ht="13.5">
      <c r="A74">
        <f>130+105+90+70+65+162+65+187+182+500+100+2+35+30+34+30+32+30+29+70+100+40+20+D74</f>
        <v>2188</v>
      </c>
      <c r="B74" t="s">
        <v>57</v>
      </c>
      <c r="C74" t="s">
        <v>91</v>
      </c>
      <c r="D74">
        <v>80</v>
      </c>
      <c r="F74" s="13">
        <f>$F$4-A74</f>
        <v>1573</v>
      </c>
      <c r="G74">
        <f>G$4-$A74</f>
        <v>1816</v>
      </c>
      <c r="H74" s="48">
        <f>H$4-$A74</f>
        <v>1764</v>
      </c>
      <c r="I74">
        <f>I$4-$A74</f>
        <v>1762</v>
      </c>
      <c r="J74">
        <f>J$4-$A74</f>
        <v>3312</v>
      </c>
      <c r="K74">
        <f>K$4-$A74</f>
        <v>1943</v>
      </c>
    </row>
    <row r="75" spans="1:11" ht="13.5">
      <c r="A75">
        <f>130+105+90+70+65+162+65+187+182+500+100+2+35+30+34+30+32+30+29+70+100+40+20+D75</f>
        <v>2190</v>
      </c>
      <c r="B75" t="s">
        <v>52</v>
      </c>
      <c r="C75" s="2" t="s">
        <v>92</v>
      </c>
      <c r="D75">
        <v>82</v>
      </c>
      <c r="F75" s="13">
        <f>$F$4-A75</f>
        <v>1571</v>
      </c>
      <c r="G75">
        <f>G$4-$A75</f>
        <v>1814</v>
      </c>
      <c r="H75" s="48">
        <f>H$4-$A75</f>
        <v>1762</v>
      </c>
      <c r="I75">
        <f>I$4-$A75</f>
        <v>1760</v>
      </c>
      <c r="J75">
        <f>J$4-$A75</f>
        <v>3310</v>
      </c>
      <c r="K75">
        <f>K$4-$A75</f>
        <v>1941</v>
      </c>
    </row>
    <row r="76" spans="1:11" ht="13.5">
      <c r="A76">
        <f>130+105+90+70+65+162+65+187+182+500+100+2+35+30+34+30+32+30+29+70+100+40+20+D76</f>
        <v>2190</v>
      </c>
      <c r="B76" t="s">
        <v>58</v>
      </c>
      <c r="C76" s="2" t="s">
        <v>93</v>
      </c>
      <c r="D76">
        <v>82</v>
      </c>
      <c r="F76" s="13">
        <f>$F$4-A76</f>
        <v>1571</v>
      </c>
      <c r="G76">
        <f>G$4-$A76</f>
        <v>1814</v>
      </c>
      <c r="H76" s="48">
        <f>H$4-$A76</f>
        <v>1762</v>
      </c>
      <c r="I76">
        <f>I$4-$A76</f>
        <v>1760</v>
      </c>
      <c r="J76">
        <f>J$4-$A76</f>
        <v>3310</v>
      </c>
      <c r="K76">
        <f>K$4-$A76</f>
        <v>1941</v>
      </c>
    </row>
    <row r="77" spans="1:11" ht="13.5">
      <c r="A77">
        <f>130+105+90+70+65+162+65+187+182+500+100+2+35+30+34+30+32+30+29+70+100+40+20+D77</f>
        <v>2191</v>
      </c>
      <c r="B77" t="s">
        <v>59</v>
      </c>
      <c r="C77" t="s">
        <v>91</v>
      </c>
      <c r="D77">
        <v>83</v>
      </c>
      <c r="F77" s="13">
        <f>$F$4-A77</f>
        <v>1570</v>
      </c>
      <c r="G77">
        <f>G$4-$A77</f>
        <v>1813</v>
      </c>
      <c r="H77" s="48">
        <f>H$4-$A77</f>
        <v>1761</v>
      </c>
      <c r="I77">
        <f>I$4-$A77</f>
        <v>1759</v>
      </c>
      <c r="J77">
        <f>J$4-$A77</f>
        <v>3309</v>
      </c>
      <c r="K77">
        <f>K$4-$A77</f>
        <v>1940</v>
      </c>
    </row>
    <row r="78" spans="1:11" ht="13.5">
      <c r="A78">
        <f>130+105+90+70+65+162+65+187+182+500+100+2+35+30+34+30+32+30+29+70+100+40+20+D78</f>
        <v>2192</v>
      </c>
      <c r="B78" t="s">
        <v>60</v>
      </c>
      <c r="C78" t="s">
        <v>94</v>
      </c>
      <c r="D78">
        <v>84</v>
      </c>
      <c r="F78" s="13">
        <f>$F$4-A78</f>
        <v>1569</v>
      </c>
      <c r="G78">
        <f>G$4-$A78</f>
        <v>1812</v>
      </c>
      <c r="H78" s="48">
        <f>H$4-$A78</f>
        <v>1760</v>
      </c>
      <c r="I78">
        <f>I$4-$A78</f>
        <v>1758</v>
      </c>
      <c r="J78">
        <f>J$4-$A78</f>
        <v>3308</v>
      </c>
      <c r="K78">
        <f>K$4-$A78</f>
        <v>1939</v>
      </c>
    </row>
    <row r="79" spans="1:11" ht="13.5">
      <c r="A79">
        <f>130+105+90+70+65+162+65+187+182+500+100+2+35+30+34+30+32+30+29+70+100+40+20+D79</f>
        <v>2193</v>
      </c>
      <c r="B79" t="s">
        <v>61</v>
      </c>
      <c r="C79" s="2" t="s">
        <v>95</v>
      </c>
      <c r="D79">
        <v>85</v>
      </c>
      <c r="F79" s="13">
        <f>$F$4-A79</f>
        <v>1568</v>
      </c>
      <c r="G79">
        <f>G$4-$A79</f>
        <v>1811</v>
      </c>
      <c r="H79" s="48">
        <f>H$4-$A79</f>
        <v>1759</v>
      </c>
      <c r="I79">
        <f>I$4-$A79</f>
        <v>1757</v>
      </c>
      <c r="J79">
        <f>J$4-$A79</f>
        <v>3307</v>
      </c>
      <c r="K79">
        <f>K$4-$A79</f>
        <v>1938</v>
      </c>
    </row>
    <row r="80" spans="1:11" ht="13.5">
      <c r="A80">
        <f>130+105+90+70+65+162+65+187+182+500+100+2+35+30+34+30+32+30+29+70+100+40+20+D80</f>
        <v>2194</v>
      </c>
      <c r="B80" t="s">
        <v>62</v>
      </c>
      <c r="C80" t="s">
        <v>94</v>
      </c>
      <c r="D80">
        <v>86</v>
      </c>
      <c r="F80" s="13">
        <f>$F$4-A80</f>
        <v>1567</v>
      </c>
      <c r="G80">
        <f>G$4-$A80</f>
        <v>1810</v>
      </c>
      <c r="H80" s="48">
        <f>H$4-$A80</f>
        <v>1758</v>
      </c>
      <c r="I80">
        <f>I$4-$A80</f>
        <v>1756</v>
      </c>
      <c r="J80">
        <f>J$4-$A80</f>
        <v>3306</v>
      </c>
      <c r="K80">
        <f>K$4-$A80</f>
        <v>1937</v>
      </c>
    </row>
    <row r="81" spans="1:11" ht="13.5">
      <c r="A81">
        <f>130+105+90+70+65+162+65+187+182+500+100+2+35+30+34+30+32+30+29+70+100+40+20+D81</f>
        <v>2195</v>
      </c>
      <c r="B81" t="s">
        <v>63</v>
      </c>
      <c r="C81" s="2" t="s">
        <v>96</v>
      </c>
      <c r="D81">
        <v>87</v>
      </c>
      <c r="F81" s="13">
        <f>$F$4-A81</f>
        <v>1566</v>
      </c>
      <c r="G81">
        <f>G$4-$A81</f>
        <v>1809</v>
      </c>
      <c r="H81" s="48">
        <f>H$4-$A81</f>
        <v>1757</v>
      </c>
      <c r="I81">
        <f>I$4-$A81</f>
        <v>1755</v>
      </c>
      <c r="J81">
        <f>J$4-$A81</f>
        <v>3305</v>
      </c>
      <c r="K81">
        <f>K$4-$A81</f>
        <v>1936</v>
      </c>
    </row>
    <row r="82" spans="1:11" ht="13.5">
      <c r="A82">
        <f>130+105+90+70+65+162+65+187+182+500+100+2+35+30+34+30+32+30+29+70+100+40+20+D82</f>
        <v>2195</v>
      </c>
      <c r="B82" t="s">
        <v>64</v>
      </c>
      <c r="C82" s="2" t="s">
        <v>97</v>
      </c>
      <c r="D82">
        <v>87</v>
      </c>
      <c r="F82" s="13">
        <f>$F$4-A82</f>
        <v>1566</v>
      </c>
      <c r="G82">
        <f>G$4-$A82</f>
        <v>1809</v>
      </c>
      <c r="H82" s="48">
        <f>H$4-$A82</f>
        <v>1757</v>
      </c>
      <c r="I82">
        <f>I$4-$A82</f>
        <v>1755</v>
      </c>
      <c r="J82">
        <f>J$4-$A82</f>
        <v>3305</v>
      </c>
      <c r="K82">
        <f>K$4-$A82</f>
        <v>1936</v>
      </c>
    </row>
    <row r="83" spans="1:11" ht="13.5">
      <c r="A83">
        <f>130+105+90+70+65+162+65+187+182+500+100+2+35+30+34+30+32+30+29+70+100+40+20+D83</f>
        <v>2204</v>
      </c>
      <c r="B83" t="s">
        <v>65</v>
      </c>
      <c r="C83" t="s">
        <v>98</v>
      </c>
      <c r="D83">
        <v>96</v>
      </c>
      <c r="F83" s="13">
        <f>$F$4-A83</f>
        <v>1557</v>
      </c>
      <c r="G83">
        <f>G$4-$A83</f>
        <v>1800</v>
      </c>
      <c r="H83" s="48">
        <f>H$4-$A83</f>
        <v>1748</v>
      </c>
      <c r="I83">
        <f>I$4-$A83</f>
        <v>1746</v>
      </c>
      <c r="J83">
        <f>J$4-$A83</f>
        <v>3296</v>
      </c>
      <c r="K83">
        <f>K$4-$A83</f>
        <v>1927</v>
      </c>
    </row>
    <row r="84" spans="1:11" ht="13.5">
      <c r="A84">
        <f>130+105+90+70+65+162+65+187+182+500+100+2+35+30+34+30+32+30+29+70+100+40+20+D84</f>
        <v>2204</v>
      </c>
      <c r="B84" t="s">
        <v>66</v>
      </c>
      <c r="C84" t="s">
        <v>99</v>
      </c>
      <c r="D84">
        <v>96</v>
      </c>
      <c r="F84" s="13">
        <f>$F$4-A84</f>
        <v>1557</v>
      </c>
      <c r="G84">
        <f>G$4-$A84</f>
        <v>1800</v>
      </c>
      <c r="H84" s="48">
        <f>H$4-$A84</f>
        <v>1748</v>
      </c>
      <c r="I84">
        <f>I$4-$A84</f>
        <v>1746</v>
      </c>
      <c r="J84">
        <f>J$4-$A84</f>
        <v>3296</v>
      </c>
      <c r="K84">
        <f>K$4-$A84</f>
        <v>1927</v>
      </c>
    </row>
    <row r="85" spans="1:11" ht="13.5">
      <c r="A85">
        <f>130+105+90+70+65+162+65+187+182+500+100+2+35+30+34+30+32+30+29+70+100+40+20+D85</f>
        <v>2205</v>
      </c>
      <c r="B85" t="s">
        <v>67</v>
      </c>
      <c r="C85" t="s">
        <v>100</v>
      </c>
      <c r="D85">
        <v>97</v>
      </c>
      <c r="F85" s="13">
        <f>$F$4-A85</f>
        <v>1556</v>
      </c>
      <c r="G85">
        <f>G$4-$A85</f>
        <v>1799</v>
      </c>
      <c r="H85" s="48">
        <f>H$4-$A85</f>
        <v>1747</v>
      </c>
      <c r="I85">
        <f>I$4-$A85</f>
        <v>1745</v>
      </c>
      <c r="J85">
        <f>J$4-$A85</f>
        <v>3295</v>
      </c>
      <c r="K85">
        <f>K$4-$A85</f>
        <v>1926</v>
      </c>
    </row>
    <row r="86" spans="1:11" ht="13.5">
      <c r="A86">
        <f>130+105+90+70+65+162+65+187+182+500+100+2+35+30+34+30+32+30+29+70+100+40+20+D86</f>
        <v>2206</v>
      </c>
      <c r="B86" t="s">
        <v>52</v>
      </c>
      <c r="C86" t="s">
        <v>101</v>
      </c>
      <c r="D86">
        <v>98</v>
      </c>
      <c r="F86" s="13">
        <f>$F$4-A86</f>
        <v>1555</v>
      </c>
      <c r="G86">
        <f>G$4-$A86</f>
        <v>1798</v>
      </c>
      <c r="H86" s="48">
        <f>H$4-$A86</f>
        <v>1746</v>
      </c>
      <c r="I86">
        <f>I$4-$A86</f>
        <v>1744</v>
      </c>
      <c r="J86">
        <f>J$4-$A86</f>
        <v>3294</v>
      </c>
      <c r="K86">
        <f>K$4-$A86</f>
        <v>1925</v>
      </c>
    </row>
    <row r="87" spans="1:11" ht="40.5">
      <c r="A87">
        <f>1947+100+180-20</f>
        <v>2207</v>
      </c>
      <c r="B87" t="s">
        <v>68</v>
      </c>
      <c r="C87" s="15" t="s">
        <v>102</v>
      </c>
      <c r="D87" s="15"/>
      <c r="F87" s="13">
        <f>$F$4-A87</f>
        <v>1554</v>
      </c>
      <c r="G87">
        <f>G$4-$A87</f>
        <v>1797</v>
      </c>
      <c r="H87" s="48">
        <f>H$4-$A87</f>
        <v>1745</v>
      </c>
      <c r="I87">
        <f>I$4-$A87</f>
        <v>1743</v>
      </c>
      <c r="J87">
        <f>J$4-$A87</f>
        <v>3293</v>
      </c>
      <c r="K87">
        <f>K$4-$A87</f>
        <v>1924</v>
      </c>
    </row>
    <row r="88" spans="1:11" ht="13.5">
      <c r="A88">
        <f>130+105+90+70+65+162+65+187+182+500+100+2+35+30+34+30+32+30+29+70+100+40+20+D88</f>
        <v>2209</v>
      </c>
      <c r="B88" t="s">
        <v>52</v>
      </c>
      <c r="C88" t="s">
        <v>103</v>
      </c>
      <c r="D88">
        <v>101</v>
      </c>
      <c r="F88" s="13">
        <f>$F$4-A88</f>
        <v>1552</v>
      </c>
      <c r="G88">
        <f>G$4-$A88</f>
        <v>1795</v>
      </c>
      <c r="H88" s="48">
        <f>H$4-$A88</f>
        <v>1743</v>
      </c>
      <c r="I88">
        <f>I$4-$A88</f>
        <v>1741</v>
      </c>
      <c r="J88">
        <f>J$4-$A88</f>
        <v>3291</v>
      </c>
      <c r="K88">
        <f>K$4-$A88</f>
        <v>1922</v>
      </c>
    </row>
    <row r="89" spans="1:11" ht="13.5">
      <c r="A89">
        <f>130+105+90+70+65+162+65+187+182+500+100+2+35+30+34+30+32+30+29+70+100+40+20+D89</f>
        <v>2210</v>
      </c>
      <c r="B89" t="s">
        <v>69</v>
      </c>
      <c r="C89" s="18" t="s">
        <v>104</v>
      </c>
      <c r="D89">
        <v>102</v>
      </c>
      <c r="F89" s="13">
        <f>$F$4-A89</f>
        <v>1551</v>
      </c>
      <c r="G89">
        <f>G$4-$A89</f>
        <v>1794</v>
      </c>
      <c r="H89" s="48">
        <f>H$4-$A89</f>
        <v>1742</v>
      </c>
      <c r="I89">
        <f>I$4-$A89</f>
        <v>1740</v>
      </c>
      <c r="J89">
        <f>J$4-$A89</f>
        <v>3290</v>
      </c>
      <c r="K89">
        <f>K$4-$A89</f>
        <v>1921</v>
      </c>
    </row>
    <row r="90" spans="1:11" ht="13.5">
      <c r="A90">
        <f>130+105+90+70+65+162+65+187+182+500+100+2+35+30+34+30+32+30+29+70+100+40+20+D90</f>
        <v>2210</v>
      </c>
      <c r="B90" t="s">
        <v>70</v>
      </c>
      <c r="C90" t="s">
        <v>105</v>
      </c>
      <c r="D90">
        <v>102</v>
      </c>
      <c r="F90" s="13">
        <f>$F$4-A90</f>
        <v>1551</v>
      </c>
      <c r="G90">
        <f>G$4-$A90</f>
        <v>1794</v>
      </c>
      <c r="H90" s="48">
        <f>H$4-$A90</f>
        <v>1742</v>
      </c>
      <c r="I90">
        <f>I$4-$A90</f>
        <v>1740</v>
      </c>
      <c r="J90">
        <f>J$4-$A90</f>
        <v>3290</v>
      </c>
      <c r="K90">
        <f>K$4-$A90</f>
        <v>1921</v>
      </c>
    </row>
    <row r="91" spans="1:11" ht="13.5">
      <c r="A91">
        <f>130+105+90+70+65+162+65+187+182+500+100+2+35+30+34+30+32+30+29+70+100+40+20+D91</f>
        <v>2210</v>
      </c>
      <c r="B91" t="s">
        <v>65</v>
      </c>
      <c r="C91" t="s">
        <v>106</v>
      </c>
      <c r="D91">
        <v>102</v>
      </c>
      <c r="E91">
        <v>15</v>
      </c>
      <c r="F91" s="13">
        <f>$F$4-A91</f>
        <v>1551</v>
      </c>
      <c r="G91">
        <f>G$4-$A91</f>
        <v>1794</v>
      </c>
      <c r="H91" s="48">
        <f>H$4-$A91</f>
        <v>1742</v>
      </c>
      <c r="I91">
        <f>I$4-$A91</f>
        <v>1740</v>
      </c>
      <c r="J91">
        <f>J$4-$A91</f>
        <v>3290</v>
      </c>
      <c r="K91">
        <f>K$4-$A91</f>
        <v>1921</v>
      </c>
    </row>
    <row r="92" spans="1:11" ht="13.5">
      <c r="A92">
        <f>130+105+90+70+65+162+65+187+182+500+100+2+35+30+34+30+32+30+29+70+100+40+20+D92</f>
        <v>2211</v>
      </c>
      <c r="B92" t="s">
        <v>52</v>
      </c>
      <c r="C92" t="s">
        <v>107</v>
      </c>
      <c r="D92">
        <v>103</v>
      </c>
      <c r="F92" s="13">
        <f>$F$4-A92</f>
        <v>1550</v>
      </c>
      <c r="G92">
        <f>G$4-$A92</f>
        <v>1793</v>
      </c>
      <c r="H92" s="48">
        <f>H$4-$A92</f>
        <v>1741</v>
      </c>
      <c r="I92">
        <f>I$4-$A92</f>
        <v>1739</v>
      </c>
      <c r="J92">
        <f>J$4-$A92</f>
        <v>3289</v>
      </c>
      <c r="K92">
        <f>K$4-$A92</f>
        <v>1920</v>
      </c>
    </row>
    <row r="93" spans="1:11" ht="13.5">
      <c r="A93">
        <f>130+105+90+70+65+162+65+187+182+500+100+2+35+30+34+30+32+30+29+70+100+40+20+D93</f>
        <v>2213</v>
      </c>
      <c r="B93" t="s">
        <v>71</v>
      </c>
      <c r="C93" t="s">
        <v>108</v>
      </c>
      <c r="D93">
        <v>105</v>
      </c>
      <c r="F93" s="13">
        <f>$F$4-A93</f>
        <v>1548</v>
      </c>
      <c r="G93">
        <f>G$4-$A93</f>
        <v>1791</v>
      </c>
      <c r="H93" s="48">
        <f>H$4-$A93</f>
        <v>1739</v>
      </c>
      <c r="I93">
        <f>I$4-$A93</f>
        <v>1737</v>
      </c>
      <c r="J93">
        <f>J$4-$A93</f>
        <v>3287</v>
      </c>
      <c r="K93">
        <f>K$4-$A93</f>
        <v>1918</v>
      </c>
    </row>
    <row r="94" spans="1:11" ht="13.5">
      <c r="A94">
        <f>130+105+90+70+65+162+65+187+182+500+100+2+35+30+34+30+32+30+29+70+100+40+20+D94</f>
        <v>2218</v>
      </c>
      <c r="B94" t="s">
        <v>72</v>
      </c>
      <c r="C94" t="s">
        <v>109</v>
      </c>
      <c r="D94">
        <v>110</v>
      </c>
      <c r="E94">
        <v>155</v>
      </c>
      <c r="F94" s="13">
        <f>$F$4-A94</f>
        <v>1543</v>
      </c>
      <c r="G94">
        <f>G$4-$A94</f>
        <v>1786</v>
      </c>
      <c r="H94" s="48">
        <f>H$4-$A94</f>
        <v>1734</v>
      </c>
      <c r="I94">
        <f>I$4-$A94</f>
        <v>1732</v>
      </c>
      <c r="J94">
        <f>J$4-$A94</f>
        <v>3282</v>
      </c>
      <c r="K94">
        <f>K$4-$A94</f>
        <v>1913</v>
      </c>
    </row>
    <row r="95" spans="1:11" ht="13.5">
      <c r="A95">
        <f>2195+D95</f>
        <v>2225</v>
      </c>
      <c r="B95" t="s">
        <v>73</v>
      </c>
      <c r="C95" s="15" t="s">
        <v>110</v>
      </c>
      <c r="D95" s="15">
        <v>30</v>
      </c>
      <c r="F95" s="13">
        <f>$F$4-A95</f>
        <v>1536</v>
      </c>
      <c r="G95">
        <f>G$4-$A95</f>
        <v>1779</v>
      </c>
      <c r="H95" s="48">
        <f>H$4-$A95</f>
        <v>1727</v>
      </c>
      <c r="I95">
        <f>I$4-$A95</f>
        <v>1725</v>
      </c>
      <c r="J95">
        <f>J$4-$A95</f>
        <v>3275</v>
      </c>
      <c r="K95">
        <f>K$4-$A95</f>
        <v>1906</v>
      </c>
    </row>
    <row r="96" spans="1:11" ht="27">
      <c r="A96">
        <f>1947+100+180</f>
        <v>2227</v>
      </c>
      <c r="B96" t="s">
        <v>74</v>
      </c>
      <c r="C96" s="15" t="s">
        <v>457</v>
      </c>
      <c r="D96" s="15"/>
      <c r="E96">
        <v>180</v>
      </c>
      <c r="F96" s="13">
        <f>$F$4-A96</f>
        <v>1534</v>
      </c>
      <c r="G96">
        <f>G$4-$A96</f>
        <v>1777</v>
      </c>
      <c r="H96" s="48">
        <f>H$4-$A96</f>
        <v>1725</v>
      </c>
      <c r="I96">
        <f>I$4-$A96</f>
        <v>1723</v>
      </c>
      <c r="J96">
        <f>J$4-$A96</f>
        <v>3273</v>
      </c>
      <c r="K96">
        <f>K$4-$A96</f>
        <v>1904</v>
      </c>
    </row>
    <row r="97" spans="1:11" ht="13.5">
      <c r="A97">
        <f>2195+D97</f>
        <v>2239</v>
      </c>
      <c r="B97" t="s">
        <v>73</v>
      </c>
      <c r="C97" s="15" t="s">
        <v>115</v>
      </c>
      <c r="D97" s="15">
        <v>44</v>
      </c>
      <c r="F97" s="13">
        <f>$F$4-A97</f>
        <v>1522</v>
      </c>
      <c r="G97">
        <f>G$4-$A97</f>
        <v>1765</v>
      </c>
      <c r="H97" s="48">
        <f>H$4-$A97</f>
        <v>1713</v>
      </c>
      <c r="I97">
        <f>I$4-$A97</f>
        <v>1711</v>
      </c>
      <c r="J97">
        <f>J$4-$A97</f>
        <v>3261</v>
      </c>
      <c r="K97">
        <f>K$4-$A97</f>
        <v>1892</v>
      </c>
    </row>
    <row r="98" spans="1:11" ht="13.5">
      <c r="A98">
        <f>2108+D98</f>
        <v>2238</v>
      </c>
      <c r="B98" t="s">
        <v>52</v>
      </c>
      <c r="C98" s="15" t="s">
        <v>114</v>
      </c>
      <c r="D98" s="15">
        <v>130</v>
      </c>
      <c r="F98" s="13">
        <f>$F$4-A98</f>
        <v>1523</v>
      </c>
      <c r="G98">
        <f>G$4-$A98</f>
        <v>1766</v>
      </c>
      <c r="H98" s="48">
        <f>H$4-$A98</f>
        <v>1714</v>
      </c>
      <c r="I98">
        <f>I$4-$A98</f>
        <v>1712</v>
      </c>
      <c r="J98">
        <f>J$4-$A98</f>
        <v>3262</v>
      </c>
      <c r="K98">
        <f>K$4-$A98</f>
        <v>1893</v>
      </c>
    </row>
    <row r="99" spans="1:11" ht="13.5">
      <c r="A99">
        <f>2108+D99</f>
        <v>2255</v>
      </c>
      <c r="B99" t="s">
        <v>52</v>
      </c>
      <c r="C99" s="15" t="s">
        <v>116</v>
      </c>
      <c r="D99" s="15">
        <v>147</v>
      </c>
      <c r="F99" s="13">
        <f>$F$4-A99</f>
        <v>1506</v>
      </c>
      <c r="G99">
        <f>G$4-$A99</f>
        <v>1749</v>
      </c>
      <c r="H99" s="48">
        <f>H$4-$A99</f>
        <v>1697</v>
      </c>
      <c r="I99">
        <f>I$4-$A99</f>
        <v>1695</v>
      </c>
      <c r="J99">
        <f>J$4-$A99</f>
        <v>3245</v>
      </c>
      <c r="K99">
        <f>K$4-$A99</f>
        <v>1876</v>
      </c>
    </row>
    <row r="100" spans="1:11" ht="13.5">
      <c r="A100">
        <f>130+105+90+70+65+162+65+187+182+500+100+2+35+30+34+30+32+30+29+70+100+40+20+87+D100</f>
        <v>2305</v>
      </c>
      <c r="B100" t="s">
        <v>73</v>
      </c>
      <c r="C100" s="15" t="s">
        <v>119</v>
      </c>
      <c r="D100" s="15">
        <v>110</v>
      </c>
      <c r="F100" s="13">
        <f>$F$4-A100</f>
        <v>1456</v>
      </c>
      <c r="G100">
        <f>G$4-$A100</f>
        <v>1699</v>
      </c>
      <c r="H100" s="48">
        <f>H$4-$A100</f>
        <v>1647</v>
      </c>
      <c r="I100">
        <f>I$4-$A100</f>
        <v>1645</v>
      </c>
      <c r="J100">
        <f>J$4-$A100</f>
        <v>3195</v>
      </c>
      <c r="K100">
        <f>K$4-$A100</f>
        <v>1826</v>
      </c>
    </row>
    <row r="101" spans="3:4" ht="13.5">
      <c r="C101" t="s">
        <v>458</v>
      </c>
      <c r="D101" s="50">
        <f>AVERAGE(130,105,90,70,65,162,65,187,182)</f>
        <v>117.33333333333333</v>
      </c>
    </row>
    <row r="102" spans="3:5" ht="13.5">
      <c r="C102" t="s">
        <v>458</v>
      </c>
      <c r="D102">
        <f>AVERAGE(D5,D22)</f>
        <v>130</v>
      </c>
      <c r="E102">
        <f>AVERAGEA(E5:E73)</f>
        <v>545.9090909090909</v>
      </c>
    </row>
    <row r="103" spans="3:4" ht="13.5">
      <c r="C103" t="s">
        <v>459</v>
      </c>
      <c r="D103">
        <f>AVERAGE(D27,D70)</f>
        <v>55</v>
      </c>
    </row>
    <row r="104" spans="3:4" ht="13.5">
      <c r="C104" t="s">
        <v>459</v>
      </c>
      <c r="D104">
        <f>AVERAGE(100,35,30,34,30,32,30,29,70,86,100,60,40)</f>
        <v>52</v>
      </c>
    </row>
    <row r="105" spans="3:4" ht="13.5">
      <c r="C105" t="s">
        <v>460</v>
      </c>
      <c r="D105" s="50">
        <f>AVERAGE(130,105,90,70,65,162,65,187,182,100,35,30,34,30,32,30,29,70,86,100,60,40)</f>
        <v>78.72727272727273</v>
      </c>
    </row>
    <row r="106" ht="13.5">
      <c r="D106">
        <f>1589-1523</f>
        <v>66</v>
      </c>
    </row>
    <row r="108" spans="2:6" ht="13.5">
      <c r="B108" t="s">
        <v>393</v>
      </c>
      <c r="C108" s="2" t="s">
        <v>461</v>
      </c>
      <c r="D108" s="61">
        <f>1813/42</f>
        <v>43.166666666666664</v>
      </c>
      <c r="F108">
        <v>4</v>
      </c>
    </row>
    <row r="109" spans="3:4" ht="13.5">
      <c r="C109" s="2" t="s">
        <v>462</v>
      </c>
      <c r="D109" s="61">
        <f>3761/66</f>
        <v>56.984848484848484</v>
      </c>
    </row>
    <row r="117" ht="13.5">
      <c r="A117" s="18">
        <v>1577</v>
      </c>
    </row>
  </sheetData>
  <sheetProtection/>
  <printOptions/>
  <pageMargins left="0.7875" right="0.7875" top="0.7875" bottom="0.7875" header="0.49166666666666664" footer="0.49166666666666664"/>
  <pageSetup horizontalDpi="30066" verticalDpi="30066" orientation="portrait" paperSize="9"/>
  <legacyDrawing r:id="rId2"/>
</worksheet>
</file>

<file path=docProps/app.xml><?xml version="1.0" encoding="utf-8"?>
<Properties xmlns="http://schemas.openxmlformats.org/officeDocument/2006/extended-properties" xmlns:vt="http://schemas.openxmlformats.org/officeDocument/2006/docPropsVTypes">
  <Application>PlanMaker, Rev. 489</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Schmiers</dc:creator>
  <cp:keywords/>
  <dc:description/>
  <cp:lastModifiedBy/>
  <dcterms:created xsi:type="dcterms:W3CDTF">2013-07-04T12:22:36Z</dcterms:created>
  <dcterms:modified xsi:type="dcterms:W3CDTF">2012-07-25T10:58:11Z</dcterms:modified>
  <cp:category/>
  <cp:version/>
  <cp:contentType/>
  <cp:contentStatus/>
</cp:coreProperties>
</file>